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codeName="ThisWorkbook" defaultThemeVersion="124226"/>
  <mc:AlternateContent xmlns:mc="http://schemas.openxmlformats.org/markup-compatibility/2006">
    <mc:Choice Requires="x15">
      <x15ac:absPath xmlns:x15ac="http://schemas.microsoft.com/office/spreadsheetml/2010/11/ac" url="/Users/mrahill/Downloads/"/>
    </mc:Choice>
  </mc:AlternateContent>
  <xr:revisionPtr revIDLastSave="0" documentId="13_ncr:1_{4F116736-7026-6B45-9796-94CDA22C529D}" xr6:coauthVersionLast="47" xr6:coauthVersionMax="47" xr10:uidLastSave="{00000000-0000-0000-0000-000000000000}"/>
  <bookViews>
    <workbookView xWindow="0" yWindow="460" windowWidth="29040" windowHeight="18880" xr2:uid="{00000000-000D-0000-FFFF-FFFF00000000}"/>
  </bookViews>
  <sheets>
    <sheet name="Intro &amp; Instructions" sheetId="38" r:id="rId1"/>
    <sheet name="Inputs &amp; Outputs" sheetId="3" r:id="rId2"/>
    <sheet name="Model" sheetId="1" r:id="rId3"/>
  </sheets>
  <externalReferences>
    <externalReference r:id="rId4"/>
  </externalReferences>
  <definedNames>
    <definedName name="a">[1]Sheet1!$D$10</definedName>
    <definedName name="annual_criteria_worth">'Inputs &amp; Outputs'!#REF!</definedName>
    <definedName name="Annual_diesel_used">'Inputs &amp; Outputs'!$E$26</definedName>
    <definedName name="Annual_GHG_worth">'Inputs &amp; Outputs'!$E$72</definedName>
    <definedName name="Annual_kWh_Use">'Inputs &amp; Outputs'!$E$47</definedName>
    <definedName name="Annual_mi">'Inputs &amp; Outputs'!$E$11</definedName>
    <definedName name="Battery_Capacity">'Inputs &amp; Outputs'!$E$30</definedName>
    <definedName name="Battery_Cost">'Inputs &amp; Outputs'!$E$45</definedName>
    <definedName name="Battery_Cost_Redux">'Inputs &amp; Outputs'!$E$37</definedName>
    <definedName name="Battery_cycles">'Inputs &amp; Outputs'!$E$35</definedName>
    <definedName name="Battery_Life">'Inputs &amp; Outputs'!$E$36</definedName>
    <definedName name="Battery_Range">'Inputs &amp; Outputs'!$E$49</definedName>
    <definedName name="Battery_Replacement">'Inputs &amp; Outputs'!$E$52</definedName>
    <definedName name="Battery_Salvage">'Inputs &amp; Outputs'!$E$53</definedName>
    <definedName name="Bus_Life">'Inputs &amp; Outputs'!$E$14</definedName>
    <definedName name="Cost_Diesel_Bus">'Inputs &amp; Outputs'!$E$16</definedName>
    <definedName name="criteria_pollutants_cost">'Inputs &amp; Outputs'!#REF!</definedName>
    <definedName name="Daily_charges">'Inputs &amp; Outputs'!$E$51</definedName>
    <definedName name="Daily_distance">'Inputs &amp; Outputs'!$E$50</definedName>
    <definedName name="days_per_year">'Inputs &amp; Outputs'!$E$32</definedName>
    <definedName name="Demand_charge">'Inputs &amp; Outputs'!$E$43</definedName>
    <definedName name="Depot_or_Route">'Inputs &amp; Outputs'!$E$29</definedName>
    <definedName name="Diesel_efficiency">'Inputs &amp; Outputs'!$E$17</definedName>
    <definedName name="Diesel_GHG_Emissions">'Inputs &amp; Outputs'!$C$6</definedName>
    <definedName name="Diesel_Inflation">'Inputs &amp; Outputs'!$E$19</definedName>
    <definedName name="Diesel_Maint">'Inputs &amp; Outputs'!$E$20</definedName>
    <definedName name="Diesel_Price">'Inputs &amp; Outputs'!$E$18</definedName>
    <definedName name="Diesel_Residual">'Inputs &amp; Outputs'!$E$25</definedName>
    <definedName name="Diesel_Station_Ops">'Inputs &amp; Outputs'!$E$21</definedName>
    <definedName name="Discount_Rate">'Inputs &amp; Outputs'!$E$10</definedName>
    <definedName name="Driver_Hours_Redux">'Inputs &amp; Outputs'!$E$23</definedName>
    <definedName name="Driver_Salary">'Inputs &amp; Outputs'!$E$22</definedName>
    <definedName name="Driver_Wage">'Inputs &amp; Outputs'!$E$22</definedName>
    <definedName name="EB_Maint_Costs">'Inputs &amp; Outputs'!$E$39</definedName>
    <definedName name="EB_Maint_costs_warranty">'Inputs &amp; Outputs'!$E$41</definedName>
    <definedName name="EB_Maint_Warranty">'Inputs &amp; Outputs'!$E$40</definedName>
    <definedName name="EB_Residual">'Inputs &amp; Outputs'!$E$38</definedName>
    <definedName name="Electricity_Inflation">'Inputs &amp; Outputs'!$E$44</definedName>
    <definedName name="Electricity_Price">'Inputs &amp; Outputs'!$E$42</definedName>
    <definedName name="EV_efficiency">'Inputs &amp; Outputs'!$E$31</definedName>
    <definedName name="evse_connect_fee">'Inputs &amp; Outputs'!#REF!</definedName>
    <definedName name="EVSE_Efficiency">'Inputs &amp; Outputs'!$E$66</definedName>
    <definedName name="EVSE_Installation">'Inputs &amp; Outputs'!$E$57</definedName>
    <definedName name="EVSE_Life">'Inputs &amp; Outputs'!$E$64</definedName>
    <definedName name="EVSE_MaintOps">'Inputs &amp; Outputs'!$E$58</definedName>
    <definedName name="EVSE_Peak_draw">'Inputs &amp; Outputs'!$E$59</definedName>
    <definedName name="EVSE_perc_usage">'Inputs &amp; Outputs'!$E$63</definedName>
    <definedName name="EVSE_Price">'Inputs &amp; Outputs'!$E$56</definedName>
    <definedName name="EVSE_Salvage_Value">'Inputs &amp; Outputs'!$E$65</definedName>
    <definedName name="Expected_battery_life">'Inputs &amp; Outputs'!$E$34</definedName>
    <definedName name="GHG_diesel_cost">'Inputs &amp; Outputs'!$E$70</definedName>
    <definedName name="GHG_electricity_cost">'Inputs &amp; Outputs'!$E$71</definedName>
    <definedName name="Grant_amount">'Inputs &amp; Outputs'!$E$13</definedName>
    <definedName name="Grant_no_vehicles">'Inputs &amp; Outputs'!$E$13</definedName>
    <definedName name="Inc_Cost">'Inputs &amp; Outputs'!$E$46</definedName>
    <definedName name="Kg_GHG_per_gal_Diesel">'Inputs &amp; Outputs'!$E$67</definedName>
    <definedName name="kg_GHG_per_kWh">'Inputs &amp; Outputs'!$E$68</definedName>
    <definedName name="Load_delta">'Inputs &amp; Outputs'!$E$60</definedName>
    <definedName name="Monthly_demand_charge">'Inputs &amp; Outputs'!$E$62</definedName>
    <definedName name="Monthly_kWh_Use">'Inputs &amp; Outputs'!$E$48</definedName>
    <definedName name="No_EVSEs">'Inputs &amp; Outputs'!$E$55</definedName>
    <definedName name="No_Vehicles">'Inputs &amp; Outputs'!$E$12</definedName>
    <definedName name="NPV">Model!$C$37</definedName>
    <definedName name="NPV_2">'Inputs &amp; Outputs'!$D$3</definedName>
    <definedName name="Payback_Discounted">Model!$C$48</definedName>
    <definedName name="Payback_Discounted_2">'Inputs &amp; Outputs'!$D$4</definedName>
    <definedName name="Payback_Simple">Model!$C$49</definedName>
    <definedName name="Payback_Simple_2">'Inputs &amp; Outputs'!$D$5</definedName>
    <definedName name="Peak_draw">'Inputs &amp; Outputs'!$E$59</definedName>
    <definedName name="Price_Electric_Bus">'Inputs &amp; Outputs'!$E$28</definedName>
    <definedName name="ROR">'Inputs &amp; Outputs'!$E$10</definedName>
    <definedName name="Total_Peak_draw">'Inputs &amp; Outputs'!$E$61</definedName>
    <definedName name="USD_per_kg_GHG">'Inputs &amp; Outputs'!$E$69</definedName>
    <definedName name="Vehicles">'Inputs &amp; Outputs'!$E$12</definedName>
    <definedName name="Years_or_Cycles">'Inputs &amp; Outputs'!$E$33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5" i="3" l="1"/>
  <c r="G55" i="3"/>
  <c r="E48" i="3"/>
  <c r="E47" i="3"/>
  <c r="E46" i="3"/>
  <c r="E59" i="3"/>
  <c r="E58" i="3"/>
  <c r="E57" i="3"/>
  <c r="E56" i="3"/>
  <c r="E30" i="3"/>
  <c r="E45" i="3" s="1"/>
  <c r="E61" i="3" l="1"/>
  <c r="E60" i="3"/>
  <c r="E63" i="3" l="1"/>
  <c r="E62" i="3" l="1"/>
  <c r="E64" i="3"/>
  <c r="E39" i="1" l="1"/>
  <c r="F39" i="1"/>
  <c r="G39" i="1"/>
  <c r="H39" i="1"/>
  <c r="I39" i="1"/>
  <c r="J39" i="1"/>
  <c r="K39" i="1"/>
  <c r="L39" i="1"/>
  <c r="M39" i="1"/>
  <c r="N39" i="1"/>
  <c r="O39" i="1"/>
  <c r="P39" i="1"/>
  <c r="Q39" i="1"/>
  <c r="R39" i="1"/>
  <c r="S39" i="1"/>
  <c r="T39" i="1"/>
  <c r="U39" i="1"/>
  <c r="V39" i="1"/>
  <c r="W39" i="1"/>
  <c r="X39" i="1"/>
  <c r="D39" i="1"/>
  <c r="E26" i="3" l="1"/>
  <c r="D10" i="1" l="1"/>
  <c r="D7" i="1"/>
  <c r="E49" i="3" l="1"/>
  <c r="E50" i="3" l="1"/>
  <c r="E51" i="3" s="1"/>
  <c r="E36" i="3" s="1"/>
  <c r="E52" i="3" l="1"/>
  <c r="E53" i="3"/>
  <c r="O17" i="1"/>
  <c r="R15" i="1"/>
  <c r="S15" i="1"/>
  <c r="T15" i="1"/>
  <c r="U15" i="1"/>
  <c r="W15" i="1"/>
  <c r="X15" i="1"/>
  <c r="E15" i="1"/>
  <c r="F15" i="1"/>
  <c r="G15" i="1"/>
  <c r="H15" i="1"/>
  <c r="I15" i="1"/>
  <c r="L15" i="1"/>
  <c r="N15" i="1"/>
  <c r="O15" i="1"/>
  <c r="Q15" i="1"/>
  <c r="D15" i="1"/>
  <c r="V16" i="1" l="1"/>
  <c r="H17" i="1"/>
  <c r="T16" i="1"/>
  <c r="S16" i="1"/>
  <c r="N16" i="1"/>
  <c r="M17" i="1"/>
  <c r="Q16" i="1"/>
  <c r="H16" i="1"/>
  <c r="I16" i="1"/>
  <c r="G17" i="1"/>
  <c r="M16" i="1"/>
  <c r="W16" i="1"/>
  <c r="X16" i="1"/>
  <c r="U16" i="1"/>
  <c r="L16" i="1"/>
  <c r="O16" i="1"/>
  <c r="E16" i="1"/>
  <c r="Q17" i="1"/>
  <c r="S17" i="1"/>
  <c r="J17" i="1"/>
  <c r="X17" i="1"/>
  <c r="R17" i="1"/>
  <c r="W17" i="1"/>
  <c r="V17" i="1"/>
  <c r="D16" i="1"/>
  <c r="N17" i="1"/>
  <c r="K17" i="1"/>
  <c r="L17" i="1"/>
  <c r="U17" i="1"/>
  <c r="E17" i="1"/>
  <c r="G16" i="1"/>
  <c r="T17" i="1"/>
  <c r="F16" i="1"/>
  <c r="I17" i="1"/>
  <c r="D17" i="1"/>
  <c r="F17" i="1"/>
  <c r="V15" i="1"/>
  <c r="K16" i="1" l="1"/>
  <c r="P17" i="1"/>
  <c r="J16" i="1"/>
  <c r="P16" i="1"/>
  <c r="R16" i="1"/>
  <c r="K15" i="1"/>
  <c r="J15" i="1"/>
  <c r="M15" i="1"/>
  <c r="P15" i="1"/>
  <c r="G26" i="3"/>
  <c r="E71" i="3" l="1"/>
  <c r="G23" i="1"/>
  <c r="D6" i="3"/>
  <c r="E70" i="3"/>
  <c r="R23" i="1"/>
  <c r="J23" i="1"/>
  <c r="Q23" i="1"/>
  <c r="I23" i="1"/>
  <c r="X23" i="1"/>
  <c r="T23" i="1"/>
  <c r="P23" i="1"/>
  <c r="L23" i="1"/>
  <c r="H23" i="1"/>
  <c r="V23" i="1"/>
  <c r="N23" i="1"/>
  <c r="F23" i="1"/>
  <c r="D23" i="1"/>
  <c r="U23" i="1"/>
  <c r="M23" i="1"/>
  <c r="E23" i="1"/>
  <c r="W23" i="1"/>
  <c r="S23" i="1"/>
  <c r="O23" i="1"/>
  <c r="K23" i="1"/>
  <c r="E3" i="1" l="1"/>
  <c r="D9" i="1" l="1"/>
  <c r="G18" i="1"/>
  <c r="D14" i="1"/>
  <c r="E14" i="1"/>
  <c r="F14" i="1"/>
  <c r="G14" i="1"/>
  <c r="H14" i="1"/>
  <c r="I14" i="1"/>
  <c r="J14" i="1"/>
  <c r="K14" i="1"/>
  <c r="L14" i="1"/>
  <c r="M14" i="1"/>
  <c r="N14" i="1"/>
  <c r="O14" i="1"/>
  <c r="P14" i="1"/>
  <c r="Q14" i="1"/>
  <c r="R14" i="1"/>
  <c r="S14" i="1"/>
  <c r="T14" i="1"/>
  <c r="U14" i="1"/>
  <c r="V14" i="1"/>
  <c r="W14" i="1"/>
  <c r="X14" i="1"/>
  <c r="D18" i="1" l="1"/>
  <c r="E18" i="1"/>
  <c r="F18" i="1"/>
  <c r="E72" i="3" l="1"/>
  <c r="R19" i="1" l="1"/>
  <c r="V19" i="1"/>
  <c r="Q19" i="1"/>
  <c r="U19" i="1"/>
  <c r="T19" i="1"/>
  <c r="X19" i="1"/>
  <c r="S19" i="1"/>
  <c r="W19" i="1"/>
  <c r="M19" i="1"/>
  <c r="H19" i="1" l="1"/>
  <c r="G19" i="1"/>
  <c r="F19" i="1"/>
  <c r="E19" i="1"/>
  <c r="D19" i="1"/>
  <c r="O19" i="1"/>
  <c r="L19" i="1"/>
  <c r="P19" i="1"/>
  <c r="I19" i="1"/>
  <c r="J19" i="1"/>
  <c r="N19" i="1"/>
  <c r="K19" i="1"/>
  <c r="E4" i="1"/>
  <c r="F4" i="1"/>
  <c r="G4" i="1"/>
  <c r="H4" i="1"/>
  <c r="I4" i="1"/>
  <c r="J4" i="1"/>
  <c r="K4" i="1"/>
  <c r="L4" i="1"/>
  <c r="M4" i="1"/>
  <c r="N4" i="1"/>
  <c r="O4" i="1"/>
  <c r="P4" i="1"/>
  <c r="Q4" i="1"/>
  <c r="R4" i="1"/>
  <c r="S4" i="1"/>
  <c r="T4" i="1"/>
  <c r="U4" i="1"/>
  <c r="V4" i="1"/>
  <c r="W4" i="1"/>
  <c r="X4" i="1"/>
  <c r="D4" i="1"/>
  <c r="D3" i="1"/>
  <c r="F3" i="1"/>
  <c r="G3" i="1"/>
  <c r="H3" i="1"/>
  <c r="I3" i="1"/>
  <c r="J3" i="1"/>
  <c r="K3" i="1"/>
  <c r="L3" i="1"/>
  <c r="M3" i="1"/>
  <c r="N3" i="1"/>
  <c r="O3" i="1"/>
  <c r="P3" i="1"/>
  <c r="Q3" i="1"/>
  <c r="R3" i="1"/>
  <c r="S3" i="1"/>
  <c r="T3" i="1"/>
  <c r="U3" i="1"/>
  <c r="V3" i="1"/>
  <c r="W3" i="1"/>
  <c r="X3" i="1"/>
  <c r="H18" i="1"/>
  <c r="I18" i="1"/>
  <c r="J18" i="1"/>
  <c r="K18" i="1"/>
  <c r="L18" i="1"/>
  <c r="M18" i="1"/>
  <c r="N18" i="1"/>
  <c r="O18" i="1"/>
  <c r="P18" i="1"/>
  <c r="Q18" i="1"/>
  <c r="R18" i="1"/>
  <c r="S18" i="1"/>
  <c r="T18" i="1"/>
  <c r="U18" i="1"/>
  <c r="V18" i="1"/>
  <c r="W18" i="1"/>
  <c r="X18" i="1"/>
  <c r="W30" i="1" l="1"/>
  <c r="S30" i="1"/>
  <c r="O30" i="1"/>
  <c r="K30" i="1"/>
  <c r="G30" i="1"/>
  <c r="X30" i="1"/>
  <c r="T30" i="1"/>
  <c r="P30" i="1"/>
  <c r="L30" i="1"/>
  <c r="H30" i="1"/>
  <c r="D30" i="1"/>
  <c r="U30" i="1"/>
  <c r="Q30" i="1"/>
  <c r="M30" i="1"/>
  <c r="I30" i="1"/>
  <c r="E30" i="1"/>
  <c r="V30" i="1"/>
  <c r="R30" i="1"/>
  <c r="N30" i="1"/>
  <c r="J30" i="1"/>
  <c r="F30" i="1"/>
  <c r="D22" i="1"/>
  <c r="D8" i="1"/>
  <c r="D11" i="1" s="1"/>
  <c r="E2" i="1"/>
  <c r="E25" i="1" s="1"/>
  <c r="D2" i="1"/>
  <c r="D25" i="1" s="1"/>
  <c r="X2" i="1"/>
  <c r="X25" i="1" s="1"/>
  <c r="F2" i="1"/>
  <c r="F25" i="1" s="1"/>
  <c r="G2" i="1"/>
  <c r="G25" i="1" s="1"/>
  <c r="H2" i="1"/>
  <c r="H25" i="1" s="1"/>
  <c r="I2" i="1"/>
  <c r="I25" i="1" s="1"/>
  <c r="J2" i="1"/>
  <c r="J25" i="1" s="1"/>
  <c r="K2" i="1"/>
  <c r="K25" i="1" s="1"/>
  <c r="L2" i="1"/>
  <c r="L25" i="1" s="1"/>
  <c r="M2" i="1"/>
  <c r="M25" i="1" s="1"/>
  <c r="N2" i="1"/>
  <c r="N25" i="1" s="1"/>
  <c r="O2" i="1"/>
  <c r="O25" i="1" s="1"/>
  <c r="P2" i="1"/>
  <c r="P25" i="1" s="1"/>
  <c r="Q2" i="1"/>
  <c r="Q25" i="1" s="1"/>
  <c r="R2" i="1"/>
  <c r="R25" i="1" s="1"/>
  <c r="S2" i="1"/>
  <c r="S25" i="1" s="1"/>
  <c r="T2" i="1"/>
  <c r="T25" i="1" s="1"/>
  <c r="U2" i="1"/>
  <c r="U25" i="1" s="1"/>
  <c r="V2" i="1"/>
  <c r="V25" i="1" s="1"/>
  <c r="W2" i="1"/>
  <c r="W25" i="1" s="1"/>
  <c r="D26" i="1" l="1"/>
  <c r="Q32" i="1"/>
  <c r="Q27" i="1"/>
  <c r="I32" i="1"/>
  <c r="I27" i="1"/>
  <c r="P32" i="1"/>
  <c r="P27" i="1"/>
  <c r="D27" i="1"/>
  <c r="M32" i="1"/>
  <c r="M27" i="1"/>
  <c r="T32" i="1"/>
  <c r="T27" i="1"/>
  <c r="L32" i="1"/>
  <c r="L27" i="1"/>
  <c r="H32" i="1"/>
  <c r="H27" i="1"/>
  <c r="W32" i="1"/>
  <c r="W27" i="1"/>
  <c r="S32" i="1"/>
  <c r="S27" i="1"/>
  <c r="O32" i="1"/>
  <c r="O27" i="1"/>
  <c r="K32" i="1"/>
  <c r="K27" i="1"/>
  <c r="G32" i="1"/>
  <c r="G27" i="1"/>
  <c r="E32" i="1"/>
  <c r="E27" i="1"/>
  <c r="U32" i="1"/>
  <c r="U27" i="1"/>
  <c r="X32" i="1"/>
  <c r="X27" i="1"/>
  <c r="V32" i="1"/>
  <c r="V27" i="1"/>
  <c r="R32" i="1"/>
  <c r="R27" i="1"/>
  <c r="N32" i="1"/>
  <c r="N27" i="1"/>
  <c r="J32" i="1"/>
  <c r="J27" i="1"/>
  <c r="F32" i="1"/>
  <c r="F27" i="1"/>
  <c r="D29" i="1"/>
  <c r="D32" i="1"/>
  <c r="V29" i="1"/>
  <c r="R29" i="1"/>
  <c r="N29" i="1"/>
  <c r="J29" i="1"/>
  <c r="F29" i="1"/>
  <c r="W29" i="1"/>
  <c r="S29" i="1"/>
  <c r="O29" i="1"/>
  <c r="K29" i="1"/>
  <c r="G29" i="1"/>
  <c r="E29" i="1"/>
  <c r="T29" i="1"/>
  <c r="P29" i="1"/>
  <c r="L29" i="1"/>
  <c r="H29" i="1"/>
  <c r="U29" i="1"/>
  <c r="Q29" i="1"/>
  <c r="M29" i="1"/>
  <c r="I29" i="1"/>
  <c r="X29" i="1"/>
  <c r="E22" i="1"/>
  <c r="L31" i="1"/>
  <c r="P31" i="1"/>
  <c r="T31" i="1"/>
  <c r="D31" i="1"/>
  <c r="E31" i="1"/>
  <c r="F31" i="1"/>
  <c r="X31" i="1"/>
  <c r="U31" i="1"/>
  <c r="Q31" i="1"/>
  <c r="M31" i="1"/>
  <c r="I31" i="1"/>
  <c r="V31" i="1"/>
  <c r="R31" i="1"/>
  <c r="N31" i="1"/>
  <c r="J31" i="1"/>
  <c r="W31" i="1"/>
  <c r="S31" i="1"/>
  <c r="O31" i="1"/>
  <c r="K31" i="1"/>
  <c r="G31" i="1"/>
  <c r="H31" i="1"/>
  <c r="D24" i="1"/>
  <c r="D28" i="1" s="1"/>
  <c r="D35" i="1"/>
  <c r="D34" i="1" l="1"/>
  <c r="F22" i="1"/>
  <c r="E26" i="1"/>
  <c r="E24" i="1"/>
  <c r="E28" i="1" s="1"/>
  <c r="E34" i="1" l="1"/>
  <c r="G22" i="1"/>
  <c r="G26" i="1" s="1"/>
  <c r="F26" i="1"/>
  <c r="F24" i="1"/>
  <c r="F28" i="1" s="1"/>
  <c r="F34" i="1" l="1"/>
  <c r="H22" i="1"/>
  <c r="G24" i="1"/>
  <c r="G28" i="1" s="1"/>
  <c r="G34" i="1" s="1"/>
  <c r="I22" i="1" l="1"/>
  <c r="H26" i="1"/>
  <c r="H24" i="1"/>
  <c r="H28" i="1" s="1"/>
  <c r="H34" i="1" l="1"/>
  <c r="I26" i="1"/>
  <c r="J22" i="1"/>
  <c r="I24" i="1"/>
  <c r="I28" i="1" s="1"/>
  <c r="I34" i="1" l="1"/>
  <c r="J26" i="1"/>
  <c r="K22" i="1"/>
  <c r="J24" i="1"/>
  <c r="J28" i="1" s="1"/>
  <c r="J34" i="1" l="1"/>
  <c r="K26" i="1"/>
  <c r="L22" i="1"/>
  <c r="K24" i="1"/>
  <c r="K28" i="1" s="1"/>
  <c r="K34" i="1" l="1"/>
  <c r="M22" i="1"/>
  <c r="M26" i="1" s="1"/>
  <c r="L26" i="1"/>
  <c r="L24" i="1"/>
  <c r="L28" i="1" s="1"/>
  <c r="L34" i="1" l="1"/>
  <c r="N22" i="1"/>
  <c r="M24" i="1"/>
  <c r="M28" i="1" s="1"/>
  <c r="M34" i="1" s="1"/>
  <c r="E35" i="1"/>
  <c r="F35" i="1"/>
  <c r="G35" i="1"/>
  <c r="H35" i="1"/>
  <c r="I35" i="1"/>
  <c r="J35" i="1"/>
  <c r="K35" i="1"/>
  <c r="L35" i="1"/>
  <c r="M35" i="1"/>
  <c r="N35" i="1"/>
  <c r="O35" i="1"/>
  <c r="P35" i="1"/>
  <c r="Q35" i="1"/>
  <c r="R35" i="1"/>
  <c r="S35" i="1"/>
  <c r="T35" i="1"/>
  <c r="U35" i="1"/>
  <c r="V35" i="1"/>
  <c r="W35" i="1"/>
  <c r="X35" i="1"/>
  <c r="N26" i="1" l="1"/>
  <c r="O22" i="1"/>
  <c r="N24" i="1"/>
  <c r="N28" i="1" s="1"/>
  <c r="N34" i="1" l="1"/>
  <c r="O26" i="1"/>
  <c r="P22" i="1"/>
  <c r="O24" i="1"/>
  <c r="P26" i="1" l="1"/>
  <c r="Q22" i="1"/>
  <c r="D36" i="1"/>
  <c r="D40" i="1" s="1"/>
  <c r="D41" i="1" s="1"/>
  <c r="P24" i="1"/>
  <c r="P28" i="1" s="1"/>
  <c r="O28" i="1"/>
  <c r="O34" i="1" s="1"/>
  <c r="P34" i="1" l="1"/>
  <c r="Q26" i="1"/>
  <c r="R22" i="1"/>
  <c r="Q24" i="1"/>
  <c r="Q28" i="1" s="1"/>
  <c r="F36" i="1"/>
  <c r="E36" i="1"/>
  <c r="Q34" i="1" l="1"/>
  <c r="R26" i="1"/>
  <c r="S22" i="1"/>
  <c r="D44" i="1"/>
  <c r="E44" i="1" s="1"/>
  <c r="E40" i="1"/>
  <c r="F40" i="1" s="1"/>
  <c r="R24" i="1"/>
  <c r="R28" i="1" s="1"/>
  <c r="G36" i="1"/>
  <c r="R34" i="1" l="1"/>
  <c r="S26" i="1"/>
  <c r="S34" i="1" s="1"/>
  <c r="T22" i="1"/>
  <c r="D45" i="1"/>
  <c r="S24" i="1"/>
  <c r="S28" i="1" s="1"/>
  <c r="E41" i="1"/>
  <c r="E42" i="1" s="1"/>
  <c r="H36" i="1"/>
  <c r="T26" i="1" l="1"/>
  <c r="U22" i="1"/>
  <c r="F44" i="1"/>
  <c r="E45" i="1"/>
  <c r="E46" i="1" s="1"/>
  <c r="T24" i="1"/>
  <c r="T28" i="1" s="1"/>
  <c r="F41" i="1"/>
  <c r="F42" i="1" s="1"/>
  <c r="I36" i="1"/>
  <c r="T34" i="1" l="1"/>
  <c r="U26" i="1"/>
  <c r="V22" i="1"/>
  <c r="G44" i="1"/>
  <c r="F45" i="1"/>
  <c r="U24" i="1"/>
  <c r="U28" i="1" s="1"/>
  <c r="G40" i="1"/>
  <c r="G41" i="1" s="1"/>
  <c r="G42" i="1" s="1"/>
  <c r="J36" i="1"/>
  <c r="U34" i="1" l="1"/>
  <c r="V26" i="1"/>
  <c r="W22" i="1"/>
  <c r="F46" i="1"/>
  <c r="G45" i="1"/>
  <c r="G46" i="1" s="1"/>
  <c r="H44" i="1"/>
  <c r="V24" i="1"/>
  <c r="V28" i="1" s="1"/>
  <c r="H40" i="1"/>
  <c r="H41" i="1" s="1"/>
  <c r="K36" i="1"/>
  <c r="V34" i="1" l="1"/>
  <c r="W26" i="1"/>
  <c r="X22" i="1"/>
  <c r="X26" i="1" s="1"/>
  <c r="H42" i="1"/>
  <c r="H45" i="1"/>
  <c r="H46" i="1" s="1"/>
  <c r="I44" i="1"/>
  <c r="W24" i="1"/>
  <c r="W28" i="1" s="1"/>
  <c r="I40" i="1"/>
  <c r="I41" i="1" s="1"/>
  <c r="L36" i="1"/>
  <c r="W34" i="1" l="1"/>
  <c r="J44" i="1"/>
  <c r="I45" i="1"/>
  <c r="I42" i="1"/>
  <c r="X24" i="1"/>
  <c r="X28" i="1" s="1"/>
  <c r="X34" i="1" s="1"/>
  <c r="J40" i="1"/>
  <c r="J41" i="1" s="1"/>
  <c r="J42" i="1" s="1"/>
  <c r="M36" i="1"/>
  <c r="I46" i="1" l="1"/>
  <c r="J45" i="1"/>
  <c r="J46" i="1" s="1"/>
  <c r="K44" i="1"/>
  <c r="K40" i="1"/>
  <c r="N36" i="1"/>
  <c r="K41" i="1" l="1"/>
  <c r="K42" i="1" s="1"/>
  <c r="L40" i="1"/>
  <c r="L41" i="1" s="1"/>
  <c r="K45" i="1"/>
  <c r="K46" i="1" s="1"/>
  <c r="L44" i="1"/>
  <c r="M44" i="1" s="1"/>
  <c r="O36" i="1"/>
  <c r="L42" i="1" l="1"/>
  <c r="L45" i="1"/>
  <c r="L46" i="1" s="1"/>
  <c r="M40" i="1"/>
  <c r="M41" i="1" s="1"/>
  <c r="M42" i="1" s="1"/>
  <c r="P36" i="1"/>
  <c r="N44" i="1" l="1"/>
  <c r="M45" i="1"/>
  <c r="M46" i="1" s="1"/>
  <c r="N40" i="1"/>
  <c r="N41" i="1" s="1"/>
  <c r="N42" i="1" s="1"/>
  <c r="Q36" i="1"/>
  <c r="O44" i="1" l="1"/>
  <c r="N45" i="1"/>
  <c r="N46" i="1" s="1"/>
  <c r="O40" i="1"/>
  <c r="O41" i="1" s="1"/>
  <c r="O42" i="1" s="1"/>
  <c r="R36" i="1"/>
  <c r="O45" i="1" l="1"/>
  <c r="O46" i="1" s="1"/>
  <c r="P44" i="1"/>
  <c r="Q44" i="1" s="1"/>
  <c r="P40" i="1"/>
  <c r="S36" i="1"/>
  <c r="P41" i="1" l="1"/>
  <c r="P42" i="1" s="1"/>
  <c r="Q40" i="1"/>
  <c r="Q41" i="1" s="1"/>
  <c r="P45" i="1"/>
  <c r="P46" i="1" s="1"/>
  <c r="T36" i="1"/>
  <c r="Q42" i="1" l="1"/>
  <c r="Q45" i="1"/>
  <c r="Q46" i="1" s="1"/>
  <c r="R44" i="1"/>
  <c r="R40" i="1"/>
  <c r="R41" i="1" s="1"/>
  <c r="U36" i="1"/>
  <c r="R45" i="1" l="1"/>
  <c r="R46" i="1" s="1"/>
  <c r="S44" i="1"/>
  <c r="S40" i="1"/>
  <c r="S41" i="1" s="1"/>
  <c r="S42" i="1" s="1"/>
  <c r="R42" i="1"/>
  <c r="V36" i="1"/>
  <c r="S45" i="1" l="1"/>
  <c r="S46" i="1" s="1"/>
  <c r="T44" i="1"/>
  <c r="T40" i="1"/>
  <c r="T41" i="1" s="1"/>
  <c r="T42" i="1" s="1"/>
  <c r="W36" i="1"/>
  <c r="X36" i="1"/>
  <c r="C37" i="1" l="1"/>
  <c r="D3" i="3" s="1"/>
  <c r="T45" i="1"/>
  <c r="T46" i="1" s="1"/>
  <c r="U44" i="1"/>
  <c r="U40" i="1"/>
  <c r="U41" i="1" s="1"/>
  <c r="U42" i="1" s="1"/>
  <c r="U45" i="1" l="1"/>
  <c r="U46" i="1" s="1"/>
  <c r="V44" i="1"/>
  <c r="V40" i="1"/>
  <c r="V41" i="1" s="1"/>
  <c r="V42" i="1" s="1"/>
  <c r="V45" i="1" l="1"/>
  <c r="V46" i="1" s="1"/>
  <c r="W44" i="1"/>
  <c r="W40" i="1"/>
  <c r="W41" i="1" s="1"/>
  <c r="W45" i="1" l="1"/>
  <c r="X44" i="1"/>
  <c r="X45" i="1" s="1"/>
  <c r="X40" i="1"/>
  <c r="X41" i="1" s="1"/>
  <c r="X42" i="1" s="1"/>
  <c r="W42" i="1"/>
  <c r="C48" i="1" l="1"/>
  <c r="D4" i="3" s="1"/>
  <c r="W46" i="1"/>
  <c r="X46" i="1"/>
  <c r="C49" i="1" l="1"/>
  <c r="D5" i="3" l="1"/>
</calcChain>
</file>

<file path=xl/sharedStrings.xml><?xml version="1.0" encoding="utf-8"?>
<sst xmlns="http://schemas.openxmlformats.org/spreadsheetml/2006/main" count="341" uniqueCount="303">
  <si>
    <t>Project Year</t>
  </si>
  <si>
    <t>Months Vehicle Ownership</t>
  </si>
  <si>
    <t>Purchase Price</t>
  </si>
  <si>
    <t>Input</t>
  </si>
  <si>
    <t>Cell Name</t>
  </si>
  <si>
    <t>Unit</t>
  </si>
  <si>
    <t>No_Vehicles</t>
  </si>
  <si>
    <t>Inc_Cost</t>
  </si>
  <si>
    <t>Operating Costs</t>
  </si>
  <si>
    <t>Diesel Fleet Maintenance</t>
  </si>
  <si>
    <t>Diesel Fleet Fuel Costs</t>
  </si>
  <si>
    <t>Diesel Vehicle Maintenance</t>
  </si>
  <si>
    <t>Diesel_Maint</t>
  </si>
  <si>
    <t>Diesel_Price</t>
  </si>
  <si>
    <t>Diesel Fuel Price</t>
  </si>
  <si>
    <t>Diesel_Inflation</t>
  </si>
  <si>
    <t>Discounted Cash Flow</t>
  </si>
  <si>
    <t>Annual Net Cash Flow</t>
  </si>
  <si>
    <t>Discount Factor</t>
  </si>
  <si>
    <t>%/year</t>
  </si>
  <si>
    <t>Vehicles</t>
  </si>
  <si>
    <t>$</t>
  </si>
  <si>
    <t>% per year</t>
  </si>
  <si>
    <t>%</t>
  </si>
  <si>
    <t>% of original price</t>
  </si>
  <si>
    <t>Required ROR</t>
  </si>
  <si>
    <t>Net Present Value</t>
  </si>
  <si>
    <t>Residual</t>
  </si>
  <si>
    <t>Whole Years</t>
  </si>
  <si>
    <t>Diesel Price Increase</t>
  </si>
  <si>
    <t>Cost_Diesel_Bus</t>
  </si>
  <si>
    <t>Electricity Price (per kWh)</t>
  </si>
  <si>
    <t>EV Fleet Maintenance</t>
  </si>
  <si>
    <t>EV Fleet Electricity Costs</t>
  </si>
  <si>
    <t>Attendant/Driver Cost Savings</t>
  </si>
  <si>
    <t>Battery Salvage Value</t>
  </si>
  <si>
    <t>EVSEs</t>
  </si>
  <si>
    <t>Battery Replacement Cost</t>
  </si>
  <si>
    <t>EV_efficiency</t>
  </si>
  <si>
    <t>Electric Bus Efficiency</t>
  </si>
  <si>
    <t>Diesel_efficiency</t>
  </si>
  <si>
    <t>Cost of battery (current)</t>
  </si>
  <si>
    <t>Battery_Cost_Redux</t>
  </si>
  <si>
    <t>Battery_Cost</t>
  </si>
  <si>
    <t>$/battery</t>
  </si>
  <si>
    <t>Number of EVSEs</t>
  </si>
  <si>
    <t>$/hour</t>
  </si>
  <si>
    <t>Bus_Life</t>
  </si>
  <si>
    <t>No_EVSEs</t>
  </si>
  <si>
    <t>EVSE_Price</t>
  </si>
  <si>
    <t>Driver_Hours_Redux</t>
  </si>
  <si>
    <t>Driver_Salary</t>
  </si>
  <si>
    <t>EVSE_MaintOps</t>
  </si>
  <si>
    <t>Price of Electricity (per kWh)</t>
  </si>
  <si>
    <t>Electricity Price Increase</t>
  </si>
  <si>
    <t>kWh/year</t>
  </si>
  <si>
    <t>Annual_kWh_Use</t>
  </si>
  <si>
    <t>years</t>
  </si>
  <si>
    <t>Annual diesel use</t>
  </si>
  <si>
    <t>Months EVSE Ownership</t>
  </si>
  <si>
    <t>$ per month per EVSE</t>
  </si>
  <si>
    <t>$ per EVSE</t>
  </si>
  <si>
    <t>Attendant/driver hourly wage</t>
  </si>
  <si>
    <t>Months Battery Life</t>
  </si>
  <si>
    <t>Battery_Life</t>
  </si>
  <si>
    <t>Battery_Salvage</t>
  </si>
  <si>
    <t>Battery_Replacement</t>
  </si>
  <si>
    <t>$/kWh</t>
  </si>
  <si>
    <t>Electricity_Price</t>
  </si>
  <si>
    <t>Electricity_Inflation</t>
  </si>
  <si>
    <t>EB_Maint_Costs</t>
  </si>
  <si>
    <t>Monthly_kWh_Use</t>
  </si>
  <si>
    <t>EVSE Maintenance &amp; Operation</t>
  </si>
  <si>
    <t>Attendant/driver hours reduced weekly</t>
  </si>
  <si>
    <t>Hours saved per week per bus</t>
  </si>
  <si>
    <t>kWh/month</t>
  </si>
  <si>
    <t>Annual_diesel_used</t>
  </si>
  <si>
    <t>EVSE Salvage Value</t>
  </si>
  <si>
    <t>EVSE_Salvage_Value</t>
  </si>
  <si>
    <t>EVSE Life</t>
  </si>
  <si>
    <t>EVSE_Life</t>
  </si>
  <si>
    <t>Parameter</t>
  </si>
  <si>
    <t>Discounted Payback Period (years)</t>
  </si>
  <si>
    <t>Simple Payback Period</t>
  </si>
  <si>
    <t>Simple Payback Period (years)</t>
  </si>
  <si>
    <t>Cumulative Discounted Cash Flow</t>
  </si>
  <si>
    <t>Cumulative Simple Cash Flow</t>
  </si>
  <si>
    <t>USD</t>
  </si>
  <si>
    <t>Years</t>
  </si>
  <si>
    <t>OUTPUTS</t>
  </si>
  <si>
    <t>Discounted Payback Period</t>
  </si>
  <si>
    <t>INPUTS</t>
  </si>
  <si>
    <t>Fuel Economy Diesel Buses</t>
  </si>
  <si>
    <t>EVSE</t>
  </si>
  <si>
    <t>EB Vehicle Maintenance Costs</t>
  </si>
  <si>
    <t>Required Rate of Return or Discount Rate</t>
  </si>
  <si>
    <t>Electric Bus</t>
  </si>
  <si>
    <t>Diesel Bus</t>
  </si>
  <si>
    <t>Diesel Station Operating Costs</t>
  </si>
  <si>
    <t>Cost of operating a diesel fuel station</t>
  </si>
  <si>
    <t>Diesel_Station_Ops</t>
  </si>
  <si>
    <t>$/year</t>
  </si>
  <si>
    <t>Battery Range</t>
  </si>
  <si>
    <t>Charges per day</t>
  </si>
  <si>
    <t>Battery_Range</t>
  </si>
  <si>
    <t>Distance driven per day</t>
  </si>
  <si>
    <t>Daily_distance</t>
  </si>
  <si>
    <t>Days per year driven</t>
  </si>
  <si>
    <t>days_per_year</t>
  </si>
  <si>
    <t>Daily_charges</t>
  </si>
  <si>
    <t>days per year</t>
  </si>
  <si>
    <t>Battery life (cycles)</t>
  </si>
  <si>
    <t>Battery Life (years)</t>
  </si>
  <si>
    <t>Battery_cycles</t>
  </si>
  <si>
    <t>calculated=Daily_distance/Battery_Range</t>
  </si>
  <si>
    <t>calculated=Annual_km/days_per_year</t>
  </si>
  <si>
    <t>calculated=No_Vehicles*Annual_km*(Diesel_efficiency/100)</t>
  </si>
  <si>
    <t>$ per kilo GHG reduced</t>
  </si>
  <si>
    <t>GHGs</t>
  </si>
  <si>
    <t>$/kg CO2e</t>
  </si>
  <si>
    <t>USD_per_kg_GHG</t>
  </si>
  <si>
    <t>kg/kWh</t>
  </si>
  <si>
    <t>Kilos GHG emitted per kWh of electricity consumed</t>
  </si>
  <si>
    <t>kg_GHG_per_kWh</t>
  </si>
  <si>
    <t>Annual GHG cost of diesel</t>
  </si>
  <si>
    <t>Annual GHG cost of electricity</t>
  </si>
  <si>
    <t>GHG_diesel_cost</t>
  </si>
  <si>
    <t>GHG_electricity_cost</t>
  </si>
  <si>
    <t>calculated=Annual_diesel_used*Kg_GHG_per_L_Diesel*USD_per_kg_GHG</t>
  </si>
  <si>
    <t>calculated=Monthly_CNG_Use*kg_GHG_per_kWh*USD_per_kg_GHG</t>
  </si>
  <si>
    <t>Annual GHG worth of project</t>
  </si>
  <si>
    <t>Annual_GHG_worth</t>
  </si>
  <si>
    <t>GHG cost savings</t>
  </si>
  <si>
    <t>calculated=GHG_diesel_cost-GHG_electricity_cost</t>
  </si>
  <si>
    <t>Residual value of diesel bus</t>
  </si>
  <si>
    <t>percent of purchase price</t>
  </si>
  <si>
    <t>Diesel_Residual</t>
  </si>
  <si>
    <t>Hensher, David (2007). Bus Transport: Economics, Policy, and Planning</t>
  </si>
  <si>
    <t>Residual value of electric bus</t>
  </si>
  <si>
    <t>EB_Residual</t>
  </si>
  <si>
    <t>Diesel bus residual value</t>
  </si>
  <si>
    <t>EB residual value</t>
  </si>
  <si>
    <t>Residual Values and battery replacement</t>
  </si>
  <si>
    <t>Average Life of bus (held same for both bus types to have consistent project period)</t>
  </si>
  <si>
    <t>EVSE_Installation</t>
  </si>
  <si>
    <t>EVSE Annual M&amp;O Costs</t>
  </si>
  <si>
    <t>EVSE Installation</t>
  </si>
  <si>
    <t>Up-front net cost of project</t>
  </si>
  <si>
    <t>Battery capacity</t>
  </si>
  <si>
    <t>Battery_Capacity</t>
  </si>
  <si>
    <t>kWh</t>
  </si>
  <si>
    <t>Battery 2nd use value</t>
  </si>
  <si>
    <t>$ per battery</t>
  </si>
  <si>
    <t>General</t>
  </si>
  <si>
    <t>2nd Battery Salvage Value</t>
  </si>
  <si>
    <t>Year</t>
  </si>
  <si>
    <t>$/gallon</t>
  </si>
  <si>
    <t>Gallons per year</t>
  </si>
  <si>
    <t>$/mi</t>
  </si>
  <si>
    <t>annual mi driven</t>
  </si>
  <si>
    <t>Annual_mi</t>
  </si>
  <si>
    <t>Average Vehicle Miles Traveled</t>
  </si>
  <si>
    <t>5 Year Annual Returns on S&amp;P Municipal Bond Index (https://us.spindices.com/indices/fixed-income/sp-municipal-bond-index)</t>
  </si>
  <si>
    <t>per mile</t>
  </si>
  <si>
    <t>TCRP Synthesis 130 (2018) - TCRP; combined average of sheduled and unscheduled maintenance</t>
  </si>
  <si>
    <t>gal/100mi</t>
  </si>
  <si>
    <t>kWh/100mi</t>
  </si>
  <si>
    <t>mi per charge</t>
  </si>
  <si>
    <t>mi per day</t>
  </si>
  <si>
    <t>Kg CO2e / gal Diesel</t>
  </si>
  <si>
    <t>Price of Electricity (per kW) - Demand Charge</t>
  </si>
  <si>
    <t>$/kW</t>
  </si>
  <si>
    <t>Peak EVSE Draw</t>
  </si>
  <si>
    <t>kW</t>
  </si>
  <si>
    <t>This is the lifetime of a bus, need data on how long a charger lasts before replacement</t>
  </si>
  <si>
    <t>Kilos GHG emitted per Gallon of Diesel</t>
  </si>
  <si>
    <t>Diesel Price (per gallon)</t>
  </si>
  <si>
    <t>New battery cost reduction schedule</t>
  </si>
  <si>
    <t>Monthly demand charge</t>
  </si>
  <si>
    <t>Demand_charge</t>
  </si>
  <si>
    <t>Monthly_demand_charge</t>
  </si>
  <si>
    <t>$ per month</t>
  </si>
  <si>
    <t>Electricity Demand Charge (per month)</t>
  </si>
  <si>
    <t>Kg_GHG_per_gal_Diesel</t>
  </si>
  <si>
    <t>Number of electric buses obtained (total)</t>
  </si>
  <si>
    <t>Purchase price of electric bus</t>
  </si>
  <si>
    <t>Price_Electric_Bus</t>
  </si>
  <si>
    <t>kg CO2e</t>
  </si>
  <si>
    <t>GHG emissions reduced</t>
  </si>
  <si>
    <t>Incremental Cost of all Vehicles</t>
  </si>
  <si>
    <t>Incremental Cost of all vehicles (EB more than DB)</t>
  </si>
  <si>
    <t>full charges per day</t>
  </si>
  <si>
    <t>Cost of new 40-ft diesel bus</t>
  </si>
  <si>
    <t>Percent of time EVSE is in use</t>
  </si>
  <si>
    <t>EVSE_perc_usage</t>
  </si>
  <si>
    <t>% of time</t>
  </si>
  <si>
    <t>EB Maintenance Warranty Period</t>
  </si>
  <si>
    <t>EB_Maint_Warranty</t>
  </si>
  <si>
    <t>https://www.proterra.com/wp-content/uploads/2018/05/PROTERRA-40-FT-SPECS_4.30.18-1.pdf</t>
  </si>
  <si>
    <t>EB Maintenance costs while under Warranty</t>
  </si>
  <si>
    <t>EB_Maint_costs_warranty</t>
  </si>
  <si>
    <t>https://www.nrel.gov/docs/fy17osti/67698.pdf (pg 6). Assume zero for depot charger</t>
  </si>
  <si>
    <t>Calculated=Battery_Capacity*100/EV_efficiency</t>
  </si>
  <si>
    <t>https://www.bls.gov/oes/2017/may/oes533021.htm</t>
  </si>
  <si>
    <t>https://www.eia.gov/dnav/pet/pet_pri_gnd_dcus_nus_a.htm</t>
  </si>
  <si>
    <t>Difference between monthly average load and peak load (kW)</t>
  </si>
  <si>
    <t>Number of diesel buses at depot where recharge is to happen</t>
  </si>
  <si>
    <t>This is the amount of load that an EVSE can add to the facility, when timing is not carefully controlled, without adding to the demand charge. High case should add 100% of load onto peak demand. Low case increases peak demand 0kW</t>
  </si>
  <si>
    <t>TCRP Synthesis 130 (2018) - TCRP; Average cost per bus ($887,308)</t>
  </si>
  <si>
    <t>Load_delta</t>
  </si>
  <si>
    <t>calculated =Monthly_kWh_Use/(Peak_draw*24*30.5)</t>
  </si>
  <si>
    <t>6 days/week, 52 weeks per year</t>
  </si>
  <si>
    <t>Utility Rate Database- see usurdb_complete spreadsheet and Zimny email. 5.6 cents is the bottom quintile and 17.2 is the top quintile</t>
  </si>
  <si>
    <t>EVSE_Peak_draw</t>
  </si>
  <si>
    <t>Total peak EVSE Draw</t>
  </si>
  <si>
    <t>Total_Peak_draw</t>
  </si>
  <si>
    <t>Grant_amount</t>
  </si>
  <si>
    <t>$/vehicle</t>
  </si>
  <si>
    <t>Grant</t>
  </si>
  <si>
    <t>EVSE Price (each)</t>
  </si>
  <si>
    <t>Avg. from https://www.transit.dot.gov/funding/grants/fiscal-year-2018-low-or-no-emission-low-no-bus-program-projects</t>
  </si>
  <si>
    <t>buses</t>
  </si>
  <si>
    <t>EIA 2019 Annual Energy Outlook, Electricity price-commericial, 2017-2050 growth</t>
  </si>
  <si>
    <t>APTA 2018 Fact Book</t>
  </si>
  <si>
    <t>Altoona testing of Gillig 40-ft (4.43mpg), which is the workhorse of the transit industry: Overall Average fuel consumption on pg 93: http://apps.altoonabustest.psu.edu/buses/reports/86.pdf</t>
  </si>
  <si>
    <t>Average BEB unscheduled cost per mile in year one of evaluation period, Foothills Transit: https://www.nrel.gov/docs/fy17osti/67698.pdf</t>
  </si>
  <si>
    <t>TCRP Synthesis 130 (2018) Table 9; Average on route charger (per charger). Depot charger was $50K</t>
  </si>
  <si>
    <t>No_buses_at_depot</t>
  </si>
  <si>
    <t>APTA Procurement guidelines https://www.apta.com/research-technical-resources/standards/procurement/apta-bts-bpg-gl-001-13/</t>
  </si>
  <si>
    <t>EVSE Installation Cost (each)</t>
  </si>
  <si>
    <t>EVSE_Efficiency</t>
  </si>
  <si>
    <t>EVSE efficiency</t>
  </si>
  <si>
    <t>% efficient</t>
  </si>
  <si>
    <t>Average of two fleets: www.nrel.gov/docs/fy17osti/67698.pdf and www.nrel.gov/docs/fy19osti/72864.pdf, with fast chargers at County Connection removed because they had a specific issue.</t>
  </si>
  <si>
    <t>Annual Electricity Purchased</t>
  </si>
  <si>
    <t>Monthly Electricity Purchased</t>
  </si>
  <si>
    <t>Default Value (depot charger if green)</t>
  </si>
  <si>
    <t xml:space="preserve">EIA 2019 Annual Energy Outlook, diesel fuel price projections, annual compounded growth rate:2017-2029. </t>
  </si>
  <si>
    <t>Utilimarc (via AFLEET) uses $0.88. CARB uses $0.85/mile https://www.arb.ca.gov/msprog/bus/maintenance_cost.pdf</t>
  </si>
  <si>
    <t>2016 standard diesel bus price from CARB: https://arb.ca.gov/msprog/bus/tco_assumptions.xlsx</t>
  </si>
  <si>
    <t>Set to be 15% at end of useful life to match diesel. Lack of data in literature</t>
  </si>
  <si>
    <t>BNEF 2020 to 2030 projections, per https://about.bnef.com/blog/battery-pack-prices-cited-below-100-kwh-for-the-first-time-in-2020-while-market-average-sits-at-137-kwh/</t>
  </si>
  <si>
    <t>Default ($0) assumes that retail price of diesel is the same as amortized cost of running station. If this is not the case, enter the annual operating costs of the diesel station.</t>
  </si>
  <si>
    <t>Considered awash because they avoid time driving and refueling diesel, but they also need to wait for the on-route charger. This value can be negative if the BEB takes more driver time than refueling with diesel.</t>
  </si>
  <si>
    <t>Average of 11 facilities (see https://www.nrel.gov/docs/fy20osti/74832.pdf). Used to calculate the delta between average and peak load at the facility, and therefore demand charge expenditures</t>
  </si>
  <si>
    <t>DOT requires 12 years for grants. Report suggests batteries last up to 12 years: https://www.nrel.gov/docs/fy17osti/67698.pdf. BYD 12-year warranty: https://en.byd.com/bus/k9-electric-transit-bus/. If calculated, calculation=ROUND(Battery_cycles/(days_per_year*Daily_charges),0)</t>
  </si>
  <si>
    <t>Average of 9 bus models for depot (5 models for on-route) in TCRP Synthesis 130 (2018)</t>
  </si>
  <si>
    <t>Altoona Testing results (average from Proterra [170], BYD [198.8] and Nova [175.57]). Extremes are BYDs on two different drive cycles</t>
  </si>
  <si>
    <t>Eudy et al. 2017. Still have 80% capacity after 4380 cycles - Only used if "calculate battery life" is clicked</t>
  </si>
  <si>
    <t>Battery life based on years or cycles?</t>
  </si>
  <si>
    <t>years or cycles</t>
  </si>
  <si>
    <t>Expected battery life (years)</t>
  </si>
  <si>
    <t>Expected_battery_life</t>
  </si>
  <si>
    <t>Years_or_Cycles</t>
  </si>
  <si>
    <t>We recommend using years since the relationship between cycles and battery life varies greatly between different between battery types (using different portions of it's total SOC window), and the impact of partial cycles is not adequately understood</t>
  </si>
  <si>
    <t>calculated</t>
  </si>
  <si>
    <t>Buses will be charged at depot or on-route?</t>
  </si>
  <si>
    <t>Depot_or_Route</t>
  </si>
  <si>
    <t>Default Value (on-route charger if green)</t>
  </si>
  <si>
    <t>cycles per life</t>
  </si>
  <si>
    <t>Battery replacement cost at year that it dies</t>
  </si>
  <si>
    <t>calculated =Battery_Capacity*137. Battery capacity x $137/kwh (cost of battery per BNEF https://about.bnef.com/blog/battery-pack-prices-cited-below-100-kwh-for-the-first-time-in-2020-while-market-average-sits-at-137-kwh/). This only feeds the residual value, not the purchase cost</t>
  </si>
  <si>
    <t>One charger for all vehicles purchased. Override this equation when using fast charger (up to 8 buses per fast charger, per TCRP)</t>
  </si>
  <si>
    <t>https://www.eia.gov/tools/faqs/faq.php?id=74&amp;t=11#:~:text=In%202019%2C%20total%20U.S.%20electricity,of%20CO2%20emissions%20per%20kWh.</t>
  </si>
  <si>
    <t>AFLEET Model (2019)</t>
  </si>
  <si>
    <t>World Bank 2020. https://openknowledge.worldbank.org/handle/10986/33809</t>
  </si>
  <si>
    <t>Grant Amount (total, not per-bus)</t>
  </si>
  <si>
    <t>Utility Rate Database (https://openei.org/wiki/Utility_Rate_Database)- Non-zero demand charges are $8.50/kW. 59% of rates had zero demand charges.</t>
  </si>
  <si>
    <t>TCRP Synthesis 130 (2018) - TCRP; Average on-route install (per charger).</t>
  </si>
  <si>
    <t>Assume 0% salvage value at end of 12 years (http://www.e-mobile.ch/pdf/2012/Economics_of_non-residential_charging_infrastructure_Charles-Botsford-EVS26.pdf)</t>
  </si>
  <si>
    <t>calculated=EVSE_Peak_draw*No_EVSEs</t>
  </si>
  <si>
    <t>calculated =IF(Demand_charge*(Total_Peak_draw-Load_delta)&gt;0,Demand_charge*(Total_Peak_draw-Load_delta),0). Assumes that buses are charged at optimal time (when draw is zero), but they are all charged at the same time.</t>
  </si>
  <si>
    <t>Rounded average of Proterra, New Flyer, and BYD chargers on the market in 2018.</t>
  </si>
  <si>
    <t>Input
Value</t>
  </si>
  <si>
    <t>This model is posted so that fleet managers can more accurately portray their exact fleet.</t>
  </si>
  <si>
    <t>https://www.nrel.gov/docs/fy20osti/74832.pdf</t>
  </si>
  <si>
    <t>2. Leave defaults if you don't have a fleet-specific value. Sources of defaults are in column I and in-depth descriptions are in the above report.</t>
  </si>
  <si>
    <t>3. Entering fleet specific inputs will update the "OUTPUT" section at the top of the "Driver" spreadsheet.</t>
  </si>
  <si>
    <t>Notes and tips:</t>
  </si>
  <si>
    <t>Primary Instructions:</t>
  </si>
  <si>
    <t>1. The grant input and economic outputs are given on a project-wide basis, not on a per-bus basis.</t>
  </si>
  <si>
    <t xml:space="preserve">2. Inputs that are highlighted in green have two different defaults that are linked to the "on-route" or "depot" charger selection in Cell E29.  Please feel free to overwrite these defaults despite the fact that they are equations. </t>
  </si>
  <si>
    <t>3. Gray cells are calculated. Only change if you intend to circumvent the calculations</t>
  </si>
  <si>
    <t>4. Calculations are listed under the source column so you can easily re-instate the calculation by cutting and pasting, even if you override with a fleet-specific input.</t>
  </si>
  <si>
    <t>5. Battery life (cell E33). There is reason to assume that batteries will last 12 years (in source column). Conversely, it might be worth investigating cases where the battery life is linked to the number of cycles driven. To do so, select "cycles", which will populate relevant inputs further down the list. This will estimate the battery life and assume the purchase of a full-sized new battery once it falls below 80% capacity. This is an over-simplification but can be helpful in cases that fall outside the normal range of battery size or daily driving distance.</t>
  </si>
  <si>
    <t>depot</t>
  </si>
  <si>
    <t>Default Source or Assumptions</t>
  </si>
  <si>
    <t>VICE-BEB: Vehicle and Infrastructure Cash-Flow Evaluation Model for Battery Electric Buses</t>
  </si>
  <si>
    <t>1. Update as many inputs as possible in the "Value" column of the blue "Inputs &amp; Outputs" spreadsheet.</t>
  </si>
  <si>
    <t>Disclaimer:</t>
  </si>
  <si>
    <t>National Renewable Energy Laboratory</t>
  </si>
  <si>
    <t>This model depends on many assumptions that can change from one project to another. Our defaults try to capture average or common values, and the source or logic is documented in the Source column. Furthermore, some of assumptions (such as future diesel or electricity prices) vary over time and are very difficult to predict. You can change any of these assumptions.</t>
  </si>
  <si>
    <t>The VICE-BEB model was developed by the National Renewable Energy Laboratory for transit fleet managers to assess the financial soundness of investing in battery electric buses (BEB).</t>
  </si>
  <si>
    <t>As an introduction and for context and details, please see related report available at this link:</t>
  </si>
  <si>
    <t>6. Diesel station ops (line 21). If a fleet operates its own station, enter costs here because that is an expense tied to diesel bus operation. Default is zero, which assumes that station operation costs are amortized into per-gallon diesel prices</t>
  </si>
  <si>
    <t>7. Price of greenhouse gas (GHG) emissions (line 69). Default value is zero, so carbon markets are not taken into account by default.</t>
  </si>
  <si>
    <t>Release date: February 5, 2021</t>
  </si>
  <si>
    <t>calculated =ROUND(IF(Years_or_Cycles="years",Expected_battery_life,IF(Battery_cycles/(days_per_year*Daily_charges)&lt;Bus_Life,(Battery_cycles/(days_per_year*Daily_charges)),Bus_Life)),0)</t>
  </si>
  <si>
    <t>calculated =(Price_Electric_Bus-Cost_Diesel_Bus)</t>
  </si>
  <si>
    <t>calculated =(No_Vehicles*Annual_mi*(EV_efficiency/100))+((1-EVSE_Efficiency)*(No_Vehicles*Annual_mi*(EV_efficiency/100)))</t>
  </si>
  <si>
    <t>calculated =((No_Vehicles*Annual_mi*EV_efficiency)/(100*12))+((1-EVSE_Efficiency)*((No_Vehicles*Annual_mi*EV_efficiency)/(100*12)))</t>
  </si>
  <si>
    <t>calculated =IF(Battery_Life&lt;Bus_Life,Battery_Cost-(Battery_Cost*Battery_Cost_Redux*Battery_Life),0)</t>
  </si>
  <si>
    <t>calculated =IF((100/157)*(Battery_Cost-(Battery_Cost*Battery_Cost_Redux*Battery_Life))&gt;0,(100/157)*(Battery_Cost-(Battery_Cost*Battery_Cost_Redux*Battery_Life)),0). Battery stationary value is 100/157 the value of vehicle batteries (per https://blog.ucsusa.org/hanjiro-ambrose/the-second-life-of-used-ev-batteries)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</si>
</sst>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0.000"/>
    <numFmt numFmtId="168" formatCode="0.0"/>
    <numFmt numFmtId="169" formatCode="&quot;$&quot;#,##0.00"/>
    <numFmt numFmtId="170" formatCode="_(* #,##0.0_);_(* \(#,##0.0\);_(* &quot;-&quot;??_);_(@_)"/>
    <numFmt numFmtId="171" formatCode="&quot;$&quot;#,##0"/>
    <numFmt numFmtId="172" formatCode="&quot;$&quot;#,##0.0000"/>
  </numFmts>
  <fonts count="6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0"/>
      <name val="Arial"/>
      <family val="2"/>
    </font>
    <font>
      <sz val="11"/>
      <color theme="1"/>
      <name val="Calibri"/>
      <family val="2"/>
      <scheme val="minor"/>
    </font>
    <font>
      <b/>
      <sz val="11"/>
      <color indexed="56"/>
      <name val="Calibri"/>
      <family val="2"/>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u/>
      <sz val="10"/>
      <color theme="10"/>
      <name val="Arial"/>
      <family val="2"/>
    </font>
    <font>
      <sz val="12"/>
      <name val="宋体"/>
    </font>
    <font>
      <sz val="9"/>
      <name val="宋体"/>
    </font>
    <font>
      <b/>
      <sz val="16"/>
      <color rgb="FF000000"/>
      <name val="Calibri"/>
      <family val="2"/>
    </font>
    <font>
      <sz val="11"/>
      <color rgb="FFFF0000"/>
      <name val="Calibri"/>
      <family val="2"/>
      <scheme val="minor"/>
    </font>
    <font>
      <sz val="10"/>
      <color theme="10"/>
      <name val="Arial"/>
      <family val="2"/>
    </font>
    <font>
      <u/>
      <sz val="11"/>
      <color theme="10"/>
      <name val="Calibri"/>
      <family val="2"/>
      <scheme val="minor"/>
    </font>
    <font>
      <i/>
      <sz val="11"/>
      <name val="Calibri"/>
      <family val="2"/>
      <scheme val="minor"/>
    </font>
    <font>
      <u/>
      <sz val="10"/>
      <name val="Arial"/>
      <family val="2"/>
    </font>
    <font>
      <sz val="11"/>
      <name val="Calibri"/>
      <family val="2"/>
    </font>
    <font>
      <b/>
      <sz val="10"/>
      <color theme="1"/>
      <name val="Arial"/>
      <family val="2"/>
    </font>
    <font>
      <i/>
      <sz val="10"/>
      <name val="Arial"/>
      <family val="2"/>
    </font>
    <font>
      <b/>
      <sz val="12"/>
      <color theme="1"/>
      <name val="Arial"/>
      <family val="2"/>
    </font>
    <font>
      <i/>
      <sz val="10"/>
      <color theme="1"/>
      <name val="Arial"/>
      <family val="2"/>
    </font>
  </fonts>
  <fills count="2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bgColor indexed="64"/>
      </patternFill>
    </fill>
    <fill>
      <patternFill patternType="solid">
        <fgColor rgb="FF30F45F"/>
        <bgColor indexed="64"/>
      </patternFill>
    </fill>
    <fill>
      <patternFill patternType="solid">
        <fgColor theme="0" tint="-0.249977111117893"/>
        <bgColor indexed="64"/>
      </patternFill>
    </fill>
    <fill>
      <patternFill patternType="solid">
        <fgColor theme="0" tint="-4.9989318521683403E-2"/>
        <bgColor indexed="64"/>
      </patternFill>
    </fill>
  </fills>
  <borders count="35">
    <border>
      <left/>
      <right/>
      <top/>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diagonal/>
    </border>
    <border>
      <left style="medium">
        <color indexed="64"/>
      </left>
      <right style="thin">
        <color auto="1"/>
      </right>
      <top style="medium">
        <color indexed="64"/>
      </top>
      <bottom/>
      <diagonal/>
    </border>
    <border>
      <left/>
      <right style="medium">
        <color indexed="64"/>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medium">
        <color indexed="64"/>
      </right>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medium">
        <color indexed="64"/>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41">
    <xf numFmtId="0" fontId="0" fillId="0" borderId="0"/>
    <xf numFmtId="43"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0" fontId="38" fillId="0" borderId="0"/>
    <xf numFmtId="0" fontId="39" fillId="0" borderId="0"/>
    <xf numFmtId="9" fontId="39" fillId="0" borderId="0" applyFont="0" applyFill="0" applyBorder="0" applyAlignment="0" applyProtection="0"/>
    <xf numFmtId="44" fontId="39" fillId="0" borderId="0" applyFont="0" applyFill="0" applyBorder="0" applyAlignment="0" applyProtection="0"/>
    <xf numFmtId="43" fontId="39" fillId="0" borderId="0" applyFont="0" applyFill="0" applyBorder="0" applyAlignment="0" applyProtection="0"/>
    <xf numFmtId="0" fontId="40" fillId="0" borderId="0"/>
    <xf numFmtId="9" fontId="4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39" fillId="0" borderId="0"/>
    <xf numFmtId="0" fontId="41" fillId="0" borderId="1" applyNumberFormat="0" applyFill="0" applyAlignment="0" applyProtection="0"/>
    <xf numFmtId="43" fontId="38" fillId="0" borderId="0" applyFont="0" applyFill="0" applyBorder="0" applyAlignment="0" applyProtection="0"/>
    <xf numFmtId="9" fontId="38" fillId="0" borderId="0" applyFont="0" applyFill="0" applyBorder="0" applyAlignment="0" applyProtection="0"/>
    <xf numFmtId="0" fontId="46" fillId="0" borderId="0" applyNumberFormat="0" applyFill="0" applyBorder="0" applyAlignment="0" applyProtection="0">
      <alignment vertical="top"/>
      <protection locked="0"/>
    </xf>
    <xf numFmtId="0" fontId="34" fillId="0" borderId="0"/>
    <xf numFmtId="0" fontId="47" fillId="0" borderId="0">
      <alignment vertical="center"/>
    </xf>
    <xf numFmtId="0" fontId="48" fillId="0" borderId="0">
      <alignment vertical="center"/>
    </xf>
    <xf numFmtId="43" fontId="34" fillId="0" borderId="0" applyFont="0" applyFill="0" applyBorder="0" applyAlignment="0" applyProtection="0"/>
    <xf numFmtId="9" fontId="34"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44" fontId="33" fillId="0" borderId="0" applyFont="0" applyFill="0" applyBorder="0" applyAlignment="0" applyProtection="0"/>
    <xf numFmtId="0" fontId="24" fillId="0" borderId="0"/>
    <xf numFmtId="43" fontId="24" fillId="0" borderId="0" applyFont="0" applyFill="0" applyBorder="0" applyAlignment="0" applyProtection="0"/>
    <xf numFmtId="0" fontId="37" fillId="0" borderId="0"/>
    <xf numFmtId="43" fontId="37" fillId="0" borderId="0" applyFont="0" applyFill="0" applyBorder="0" applyAlignment="0" applyProtection="0"/>
    <xf numFmtId="9" fontId="37" fillId="0" borderId="0" applyFont="0" applyFill="0" applyBorder="0" applyAlignment="0" applyProtection="0"/>
    <xf numFmtId="44" fontId="37" fillId="0" borderId="0" applyFont="0" applyFill="0" applyBorder="0" applyAlignment="0" applyProtection="0"/>
    <xf numFmtId="0" fontId="18" fillId="0" borderId="0"/>
    <xf numFmtId="44" fontId="38" fillId="0" borderId="0" applyFont="0" applyFill="0" applyBorder="0" applyAlignment="0" applyProtection="0"/>
    <xf numFmtId="0" fontId="18" fillId="0" borderId="0"/>
    <xf numFmtId="43" fontId="18" fillId="0" borderId="0" applyFont="0" applyFill="0" applyBorder="0" applyAlignment="0" applyProtection="0"/>
    <xf numFmtId="0" fontId="17" fillId="0" borderId="0"/>
    <xf numFmtId="0" fontId="7" fillId="0" borderId="0"/>
    <xf numFmtId="0" fontId="7" fillId="0" borderId="0"/>
    <xf numFmtId="0" fontId="52" fillId="0" borderId="0" applyNumberFormat="0" applyFill="0" applyBorder="0" applyAlignment="0" applyProtection="0"/>
  </cellStyleXfs>
  <cellXfs count="358">
    <xf numFmtId="0" fontId="0" fillId="0" borderId="0" xfId="0"/>
    <xf numFmtId="0" fontId="42" fillId="2" borderId="2" xfId="0" applyFont="1" applyFill="1" applyBorder="1" applyAlignment="1">
      <alignment vertical="center"/>
    </xf>
    <xf numFmtId="0" fontId="36" fillId="2" borderId="2" xfId="0" applyFont="1" applyFill="1" applyBorder="1" applyAlignment="1">
      <alignment vertical="center"/>
    </xf>
    <xf numFmtId="0" fontId="42" fillId="2" borderId="2" xfId="0" applyFont="1" applyFill="1" applyBorder="1" applyAlignment="1">
      <alignment horizontal="right" vertical="center"/>
    </xf>
    <xf numFmtId="0" fontId="42" fillId="2" borderId="2" xfId="0" applyFont="1" applyFill="1" applyBorder="1" applyAlignment="1">
      <alignment horizontal="center" vertical="center"/>
    </xf>
    <xf numFmtId="0" fontId="36" fillId="2" borderId="2" xfId="0" applyFont="1" applyFill="1" applyBorder="1" applyAlignment="1">
      <alignment horizontal="center" vertical="center"/>
    </xf>
    <xf numFmtId="164" fontId="36" fillId="2" borderId="2" xfId="3" applyNumberFormat="1" applyFont="1" applyFill="1" applyBorder="1" applyAlignment="1">
      <alignment vertical="center"/>
    </xf>
    <xf numFmtId="5" fontId="36" fillId="5" borderId="2" xfId="2" applyNumberFormat="1" applyFont="1" applyFill="1" applyBorder="1" applyAlignment="1">
      <alignment vertical="center"/>
    </xf>
    <xf numFmtId="5" fontId="44" fillId="2" borderId="2" xfId="2" applyNumberFormat="1" applyFont="1" applyFill="1" applyBorder="1" applyAlignment="1">
      <alignment vertical="center"/>
    </xf>
    <xf numFmtId="5" fontId="42" fillId="6" borderId="2" xfId="0" applyNumberFormat="1" applyFont="1" applyFill="1" applyBorder="1" applyAlignment="1">
      <alignment vertical="center"/>
    </xf>
    <xf numFmtId="5" fontId="36" fillId="12" borderId="2" xfId="2" applyNumberFormat="1" applyFont="1" applyFill="1" applyBorder="1" applyAlignment="1">
      <alignment vertical="center"/>
    </xf>
    <xf numFmtId="7" fontId="36" fillId="3" borderId="2" xfId="2" applyNumberFormat="1" applyFont="1" applyFill="1" applyBorder="1" applyAlignment="1">
      <alignment vertical="center"/>
    </xf>
    <xf numFmtId="5" fontId="36" fillId="3" borderId="2" xfId="2" applyNumberFormat="1" applyFont="1" applyFill="1" applyBorder="1" applyAlignment="1">
      <alignment vertical="center"/>
    </xf>
    <xf numFmtId="0" fontId="36" fillId="11" borderId="2" xfId="0" applyFont="1" applyFill="1" applyBorder="1" applyAlignment="1">
      <alignment vertical="center"/>
    </xf>
    <xf numFmtId="5" fontId="36" fillId="11" borderId="2" xfId="0" applyNumberFormat="1" applyFont="1" applyFill="1" applyBorder="1" applyAlignment="1">
      <alignment vertical="center"/>
    </xf>
    <xf numFmtId="167" fontId="36" fillId="2" borderId="2" xfId="0" applyNumberFormat="1" applyFont="1" applyFill="1" applyBorder="1" applyAlignment="1">
      <alignment vertical="center"/>
    </xf>
    <xf numFmtId="0" fontId="42" fillId="9" borderId="2" xfId="0" applyFont="1" applyFill="1" applyBorder="1" applyAlignment="1">
      <alignment vertical="center"/>
    </xf>
    <xf numFmtId="5" fontId="42" fillId="9" borderId="2" xfId="0" applyNumberFormat="1" applyFont="1" applyFill="1" applyBorder="1" applyAlignment="1">
      <alignment vertical="center"/>
    </xf>
    <xf numFmtId="5" fontId="42" fillId="7" borderId="2" xfId="0" applyNumberFormat="1" applyFont="1" applyFill="1" applyBorder="1" applyAlignment="1">
      <alignment vertical="center"/>
    </xf>
    <xf numFmtId="2" fontId="36" fillId="10" borderId="2" xfId="0" applyNumberFormat="1" applyFont="1" applyFill="1" applyBorder="1" applyAlignment="1">
      <alignment vertical="center"/>
    </xf>
    <xf numFmtId="2" fontId="36" fillId="2" borderId="2" xfId="0" applyNumberFormat="1" applyFont="1" applyFill="1" applyBorder="1" applyAlignment="1">
      <alignment vertical="center"/>
    </xf>
    <xf numFmtId="2" fontId="42" fillId="8" borderId="2" xfId="0" applyNumberFormat="1" applyFont="1" applyFill="1" applyBorder="1" applyAlignment="1">
      <alignment vertical="center"/>
    </xf>
    <xf numFmtId="0" fontId="36" fillId="0" borderId="2" xfId="0" applyFont="1" applyBorder="1" applyAlignment="1">
      <alignment vertical="center"/>
    </xf>
    <xf numFmtId="164" fontId="36" fillId="0" borderId="2" xfId="3" applyNumberFormat="1" applyFont="1" applyBorder="1" applyAlignment="1">
      <alignment vertical="center"/>
    </xf>
    <xf numFmtId="5" fontId="36" fillId="0" borderId="2" xfId="2" applyNumberFormat="1" applyFont="1" applyBorder="1" applyAlignment="1">
      <alignment vertical="center"/>
    </xf>
    <xf numFmtId="0" fontId="36" fillId="2" borderId="6" xfId="0" applyFont="1" applyFill="1" applyBorder="1" applyAlignment="1">
      <alignment vertical="center"/>
    </xf>
    <xf numFmtId="0" fontId="36" fillId="12" borderId="6" xfId="0" applyFont="1" applyFill="1" applyBorder="1" applyAlignment="1">
      <alignment horizontal="left" vertical="center"/>
    </xf>
    <xf numFmtId="5" fontId="36" fillId="12" borderId="6" xfId="2" applyNumberFormat="1" applyFont="1" applyFill="1" applyBorder="1" applyAlignment="1">
      <alignment vertical="center"/>
    </xf>
    <xf numFmtId="0" fontId="33" fillId="12" borderId="6" xfId="0" applyFont="1" applyFill="1" applyBorder="1" applyAlignment="1">
      <alignment horizontal="left" vertical="center"/>
    </xf>
    <xf numFmtId="0" fontId="36" fillId="0" borderId="6" xfId="0" applyFont="1" applyBorder="1" applyAlignment="1">
      <alignment vertical="center"/>
    </xf>
    <xf numFmtId="0" fontId="35" fillId="0" borderId="6" xfId="0" applyFont="1" applyBorder="1" applyAlignment="1">
      <alignment horizontal="left" vertical="center"/>
    </xf>
    <xf numFmtId="0" fontId="36" fillId="0" borderId="6" xfId="0" applyFont="1" applyBorder="1" applyAlignment="1">
      <alignment horizontal="left" vertical="center"/>
    </xf>
    <xf numFmtId="2" fontId="36" fillId="0" borderId="6" xfId="0" applyNumberFormat="1" applyFont="1" applyBorder="1" applyAlignment="1">
      <alignment vertical="center"/>
    </xf>
    <xf numFmtId="2" fontId="42" fillId="14" borderId="2" xfId="0" applyNumberFormat="1" applyFont="1" applyFill="1" applyBorder="1" applyAlignment="1">
      <alignment vertical="center"/>
    </xf>
    <xf numFmtId="0" fontId="36" fillId="0" borderId="0" xfId="0" applyFont="1" applyAlignment="1">
      <alignment vertical="center"/>
    </xf>
    <xf numFmtId="0" fontId="33" fillId="0" borderId="0" xfId="0" applyFont="1" applyAlignment="1">
      <alignment vertical="center"/>
    </xf>
    <xf numFmtId="168" fontId="36" fillId="0" borderId="0" xfId="0" applyNumberFormat="1" applyFont="1" applyAlignment="1">
      <alignment vertical="center"/>
    </xf>
    <xf numFmtId="0" fontId="32" fillId="0" borderId="0" xfId="0" applyFont="1" applyAlignment="1">
      <alignment vertical="center"/>
    </xf>
    <xf numFmtId="0" fontId="49" fillId="0" borderId="0" xfId="0" applyFont="1"/>
    <xf numFmtId="0" fontId="43" fillId="0" borderId="0" xfId="0" applyFont="1" applyAlignment="1">
      <alignment horizontal="center" vertical="center"/>
    </xf>
    <xf numFmtId="0" fontId="33" fillId="0" borderId="10" xfId="0" applyFont="1" applyBorder="1" applyAlignment="1">
      <alignment vertical="center"/>
    </xf>
    <xf numFmtId="0" fontId="32" fillId="0" borderId="11" xfId="0" applyFont="1" applyBorder="1" applyAlignment="1">
      <alignment vertical="center"/>
    </xf>
    <xf numFmtId="0" fontId="32" fillId="0" borderId="10" xfId="0" applyFont="1" applyBorder="1" applyAlignment="1">
      <alignment vertical="center"/>
    </xf>
    <xf numFmtId="0" fontId="42" fillId="0" borderId="0" xfId="0" applyFont="1" applyAlignment="1">
      <alignment vertical="center"/>
    </xf>
    <xf numFmtId="0" fontId="36" fillId="3" borderId="6" xfId="0" applyFont="1" applyFill="1" applyBorder="1" applyAlignment="1">
      <alignment horizontal="left" vertical="center"/>
    </xf>
    <xf numFmtId="5" fontId="36" fillId="3" borderId="6" xfId="2" applyNumberFormat="1" applyFont="1" applyFill="1" applyBorder="1" applyAlignment="1">
      <alignment vertical="center"/>
    </xf>
    <xf numFmtId="0" fontId="30" fillId="0" borderId="6" xfId="0" applyFont="1" applyBorder="1" applyAlignment="1">
      <alignment horizontal="left" vertical="center"/>
    </xf>
    <xf numFmtId="5" fontId="36" fillId="0" borderId="6" xfId="2" applyNumberFormat="1" applyFont="1" applyBorder="1" applyAlignment="1">
      <alignment vertical="center"/>
    </xf>
    <xf numFmtId="0" fontId="28" fillId="0" borderId="0" xfId="0" applyFont="1" applyAlignment="1">
      <alignment vertical="center"/>
    </xf>
    <xf numFmtId="171" fontId="36" fillId="2" borderId="6" xfId="0" applyNumberFormat="1" applyFont="1" applyFill="1" applyBorder="1" applyAlignment="1">
      <alignment vertical="center"/>
    </xf>
    <xf numFmtId="0" fontId="36" fillId="2" borderId="6" xfId="0" applyFont="1" applyFill="1" applyBorder="1" applyAlignment="1">
      <alignment horizontal="left" vertical="center"/>
    </xf>
    <xf numFmtId="5" fontId="44" fillId="2" borderId="6" xfId="2" applyNumberFormat="1" applyFont="1" applyFill="1" applyBorder="1" applyAlignment="1">
      <alignment vertical="center"/>
    </xf>
    <xf numFmtId="0" fontId="28" fillId="2" borderId="6" xfId="0" applyFont="1" applyFill="1" applyBorder="1" applyAlignment="1">
      <alignment horizontal="left" vertical="center"/>
    </xf>
    <xf numFmtId="0" fontId="45" fillId="0" borderId="6" xfId="0" applyFont="1" applyBorder="1" applyAlignment="1">
      <alignment vertical="center"/>
    </xf>
    <xf numFmtId="0" fontId="45" fillId="12" borderId="6" xfId="0" applyFont="1" applyFill="1" applyBorder="1" applyAlignment="1">
      <alignment vertical="center"/>
    </xf>
    <xf numFmtId="171" fontId="36" fillId="12" borderId="6" xfId="0" applyNumberFormat="1" applyFont="1" applyFill="1" applyBorder="1" applyAlignment="1">
      <alignment vertical="center"/>
    </xf>
    <xf numFmtId="0" fontId="27" fillId="0" borderId="6" xfId="0" applyFont="1" applyBorder="1" applyAlignment="1">
      <alignment horizontal="left" vertical="center"/>
    </xf>
    <xf numFmtId="0" fontId="26" fillId="2" borderId="2" xfId="0" applyFont="1" applyFill="1" applyBorder="1" applyAlignment="1">
      <alignment horizontal="right" vertical="center"/>
    </xf>
    <xf numFmtId="5" fontId="36" fillId="0" borderId="2" xfId="0" applyNumberFormat="1" applyFont="1" applyBorder="1" applyAlignment="1">
      <alignment vertical="center"/>
    </xf>
    <xf numFmtId="0" fontId="26" fillId="2" borderId="2" xfId="0" applyFont="1" applyFill="1" applyBorder="1" applyAlignment="1">
      <alignment vertical="center"/>
    </xf>
    <xf numFmtId="0" fontId="26" fillId="0" borderId="2" xfId="0" applyFont="1" applyBorder="1" applyAlignment="1">
      <alignment vertical="center"/>
    </xf>
    <xf numFmtId="5" fontId="36" fillId="2" borderId="2" xfId="0" applyNumberFormat="1" applyFont="1" applyFill="1" applyBorder="1" applyAlignment="1">
      <alignment vertical="center"/>
    </xf>
    <xf numFmtId="171" fontId="36" fillId="0" borderId="0" xfId="0" applyNumberFormat="1" applyFont="1" applyAlignment="1">
      <alignment vertical="center"/>
    </xf>
    <xf numFmtId="165" fontId="36" fillId="0" borderId="0" xfId="0" applyNumberFormat="1" applyFont="1" applyAlignment="1">
      <alignment vertical="center"/>
    </xf>
    <xf numFmtId="169" fontId="36" fillId="0" borderId="0" xfId="0" applyNumberFormat="1" applyFont="1" applyAlignment="1">
      <alignment vertical="center"/>
    </xf>
    <xf numFmtId="0" fontId="25" fillId="0" borderId="0" xfId="0" applyFont="1" applyAlignment="1">
      <alignment vertical="center"/>
    </xf>
    <xf numFmtId="0" fontId="42" fillId="2" borderId="6" xfId="0" applyFont="1" applyFill="1" applyBorder="1" applyAlignment="1">
      <alignment vertical="center"/>
    </xf>
    <xf numFmtId="0" fontId="42" fillId="9" borderId="6" xfId="0" applyFont="1" applyFill="1" applyBorder="1" applyAlignment="1">
      <alignment vertical="center"/>
    </xf>
    <xf numFmtId="5" fontId="42" fillId="9" borderId="6" xfId="0" applyNumberFormat="1" applyFont="1" applyFill="1" applyBorder="1" applyAlignment="1">
      <alignment vertical="center"/>
    </xf>
    <xf numFmtId="5" fontId="36" fillId="0" borderId="0" xfId="0" applyNumberFormat="1" applyFont="1" applyAlignment="1">
      <alignment vertical="center"/>
    </xf>
    <xf numFmtId="0" fontId="46" fillId="0" borderId="0" xfId="17" applyAlignment="1" applyProtection="1">
      <alignment vertical="center"/>
    </xf>
    <xf numFmtId="7" fontId="42" fillId="0" borderId="0" xfId="0" applyNumberFormat="1" applyFont="1" applyAlignment="1">
      <alignment vertical="center"/>
    </xf>
    <xf numFmtId="0" fontId="24" fillId="0" borderId="0" xfId="0" applyFont="1" applyAlignment="1">
      <alignment vertical="center"/>
    </xf>
    <xf numFmtId="0" fontId="50" fillId="0" borderId="0" xfId="0" applyFont="1" applyAlignment="1">
      <alignment vertical="center"/>
    </xf>
    <xf numFmtId="171" fontId="50" fillId="0" borderId="0" xfId="0" applyNumberFormat="1" applyFont="1" applyAlignment="1">
      <alignment vertical="center"/>
    </xf>
    <xf numFmtId="0" fontId="23" fillId="0" borderId="0" xfId="0" applyFont="1" applyAlignment="1">
      <alignment vertical="center"/>
    </xf>
    <xf numFmtId="0" fontId="44" fillId="0" borderId="6" xfId="0" applyFont="1" applyBorder="1" applyAlignment="1">
      <alignment vertical="center"/>
    </xf>
    <xf numFmtId="0" fontId="22" fillId="0" borderId="0" xfId="0" applyFont="1" applyAlignment="1">
      <alignment vertical="center"/>
    </xf>
    <xf numFmtId="0" fontId="36" fillId="0" borderId="4" xfId="0" applyFont="1" applyBorder="1" applyAlignment="1">
      <alignment horizontal="left" vertical="center"/>
    </xf>
    <xf numFmtId="0" fontId="21" fillId="0" borderId="0" xfId="0" applyFont="1" applyAlignment="1">
      <alignment vertical="center"/>
    </xf>
    <xf numFmtId="0" fontId="20" fillId="0" borderId="0" xfId="0" applyFont="1" applyAlignment="1">
      <alignment vertical="center"/>
    </xf>
    <xf numFmtId="164" fontId="36" fillId="2" borderId="6" xfId="3" applyNumberFormat="1" applyFont="1" applyFill="1" applyBorder="1" applyAlignment="1">
      <alignment vertical="center"/>
    </xf>
    <xf numFmtId="0" fontId="26" fillId="2" borderId="6" xfId="0" applyFont="1" applyFill="1" applyBorder="1" applyAlignment="1">
      <alignment vertical="center"/>
    </xf>
    <xf numFmtId="5" fontId="36" fillId="2" borderId="6" xfId="0" applyNumberFormat="1" applyFont="1" applyFill="1" applyBorder="1" applyAlignment="1">
      <alignment vertical="center"/>
    </xf>
    <xf numFmtId="0" fontId="20" fillId="0" borderId="5" xfId="0" applyFont="1" applyBorder="1" applyAlignment="1">
      <alignment horizontal="left" vertical="center"/>
    </xf>
    <xf numFmtId="0" fontId="29" fillId="3" borderId="6" xfId="0" applyFont="1" applyFill="1" applyBorder="1" applyAlignment="1">
      <alignment horizontal="left" vertical="center"/>
    </xf>
    <xf numFmtId="0" fontId="46" fillId="0" borderId="17" xfId="17" applyBorder="1" applyAlignment="1" applyProtection="1">
      <alignment vertical="center"/>
    </xf>
    <xf numFmtId="0" fontId="20" fillId="0" borderId="12" xfId="0" applyFont="1" applyBorder="1" applyAlignment="1">
      <alignment vertical="center"/>
    </xf>
    <xf numFmtId="0" fontId="20" fillId="0" borderId="14" xfId="0" applyFont="1" applyBorder="1" applyAlignment="1">
      <alignment vertical="center"/>
    </xf>
    <xf numFmtId="0" fontId="19" fillId="0" borderId="0" xfId="0" applyFont="1" applyAlignment="1">
      <alignment vertical="center"/>
    </xf>
    <xf numFmtId="0" fontId="18" fillId="0" borderId="0" xfId="0" applyFont="1" applyAlignment="1">
      <alignment vertical="center"/>
    </xf>
    <xf numFmtId="10" fontId="36" fillId="0" borderId="0" xfId="0" applyNumberFormat="1" applyFont="1" applyAlignment="1">
      <alignment vertical="center"/>
    </xf>
    <xf numFmtId="0" fontId="16" fillId="0" borderId="0" xfId="0" applyFont="1" applyAlignment="1">
      <alignment vertical="center"/>
    </xf>
    <xf numFmtId="171" fontId="16" fillId="0" borderId="0" xfId="0" applyNumberFormat="1" applyFont="1" applyAlignment="1">
      <alignment vertical="center"/>
    </xf>
    <xf numFmtId="2" fontId="36" fillId="0" borderId="0" xfId="0" applyNumberFormat="1" applyFont="1" applyAlignment="1">
      <alignment vertical="center"/>
    </xf>
    <xf numFmtId="0" fontId="15" fillId="0" borderId="0" xfId="0" applyFont="1" applyAlignment="1">
      <alignment vertical="center"/>
    </xf>
    <xf numFmtId="167" fontId="36" fillId="0" borderId="0" xfId="0" applyNumberFormat="1" applyFont="1" applyAlignment="1">
      <alignment vertical="center"/>
    </xf>
    <xf numFmtId="0" fontId="14" fillId="0" borderId="0" xfId="0" applyFont="1" applyAlignment="1">
      <alignment vertical="center"/>
    </xf>
    <xf numFmtId="0" fontId="51" fillId="0" borderId="0" xfId="17" applyFont="1" applyAlignment="1" applyProtection="1">
      <alignment vertical="center"/>
    </xf>
    <xf numFmtId="0" fontId="13" fillId="0" borderId="0" xfId="0" applyFont="1" applyAlignment="1">
      <alignment vertical="center"/>
    </xf>
    <xf numFmtId="0" fontId="12" fillId="0" borderId="0" xfId="0" applyFont="1" applyAlignment="1">
      <alignment vertical="center"/>
    </xf>
    <xf numFmtId="0" fontId="36" fillId="18" borderId="0" xfId="0" applyFont="1" applyFill="1" applyAlignment="1">
      <alignment vertical="center"/>
    </xf>
    <xf numFmtId="0" fontId="31" fillId="18" borderId="15" xfId="0" applyFont="1" applyFill="1" applyBorder="1" applyAlignment="1">
      <alignment horizontal="center" vertical="center" textRotation="90"/>
    </xf>
    <xf numFmtId="0" fontId="11" fillId="0" borderId="0" xfId="0" applyFont="1" applyAlignment="1">
      <alignment vertical="center"/>
    </xf>
    <xf numFmtId="0" fontId="36" fillId="0" borderId="6" xfId="0" applyFont="1" applyFill="1" applyBorder="1" applyAlignment="1">
      <alignment horizontal="left" vertical="center"/>
    </xf>
    <xf numFmtId="5" fontId="36" fillId="0" borderId="6" xfId="0" applyNumberFormat="1" applyFont="1" applyFill="1" applyBorder="1" applyAlignment="1">
      <alignment vertical="center"/>
    </xf>
    <xf numFmtId="0" fontId="10" fillId="0" borderId="6" xfId="0" applyFont="1" applyFill="1" applyBorder="1" applyAlignment="1">
      <alignment horizontal="left" vertical="center"/>
    </xf>
    <xf numFmtId="164" fontId="44" fillId="0" borderId="6" xfId="12" applyNumberFormat="1" applyFont="1" applyBorder="1" applyAlignment="1">
      <alignment vertical="center"/>
    </xf>
    <xf numFmtId="166" fontId="36" fillId="0" borderId="0" xfId="1" applyNumberFormat="1" applyFont="1" applyAlignment="1">
      <alignment vertical="center"/>
    </xf>
    <xf numFmtId="0" fontId="9" fillId="0" borderId="0" xfId="0" applyFont="1" applyFill="1" applyAlignment="1">
      <alignment vertical="center"/>
    </xf>
    <xf numFmtId="0" fontId="36" fillId="2" borderId="2" xfId="0" applyFont="1" applyFill="1" applyBorder="1" applyAlignment="1">
      <alignment vertical="center"/>
    </xf>
    <xf numFmtId="0" fontId="6" fillId="0" borderId="0" xfId="0" applyFont="1" applyAlignment="1">
      <alignment vertical="center"/>
    </xf>
    <xf numFmtId="43" fontId="36" fillId="0" borderId="0" xfId="0" applyNumberFormat="1" applyFont="1" applyAlignment="1">
      <alignment vertical="center"/>
    </xf>
    <xf numFmtId="0" fontId="5" fillId="0" borderId="0" xfId="0" applyFont="1" applyAlignment="1">
      <alignment vertical="center"/>
    </xf>
    <xf numFmtId="0" fontId="4" fillId="0" borderId="0" xfId="0" applyFont="1" applyAlignment="1">
      <alignment vertical="center"/>
    </xf>
    <xf numFmtId="5" fontId="36" fillId="0" borderId="0" xfId="0" applyNumberFormat="1" applyFont="1" applyBorder="1" applyAlignment="1">
      <alignment vertical="center"/>
    </xf>
    <xf numFmtId="165" fontId="36" fillId="0" borderId="0" xfId="0" applyNumberFormat="1" applyFont="1" applyBorder="1" applyAlignment="1">
      <alignment vertical="center"/>
    </xf>
    <xf numFmtId="0" fontId="3" fillId="0" borderId="0" xfId="0" applyFont="1" applyFill="1" applyAlignment="1">
      <alignment vertical="center"/>
    </xf>
    <xf numFmtId="0" fontId="8" fillId="0" borderId="0" xfId="0" applyFont="1" applyFill="1" applyAlignment="1">
      <alignment vertical="center"/>
    </xf>
    <xf numFmtId="5" fontId="36" fillId="0" borderId="6" xfId="2" applyNumberFormat="1" applyFont="1" applyFill="1" applyBorder="1" applyAlignment="1">
      <alignment vertical="center"/>
    </xf>
    <xf numFmtId="0" fontId="38" fillId="0" borderId="0" xfId="17" applyFont="1" applyAlignment="1" applyProtection="1">
      <alignment vertical="center"/>
    </xf>
    <xf numFmtId="0" fontId="44" fillId="0" borderId="8" xfId="0" applyFont="1" applyBorder="1" applyAlignment="1">
      <alignment vertical="center"/>
    </xf>
    <xf numFmtId="164" fontId="44" fillId="0" borderId="8" xfId="3" applyNumberFormat="1" applyFont="1" applyBorder="1" applyAlignment="1">
      <alignment vertical="center"/>
    </xf>
    <xf numFmtId="166" fontId="44" fillId="0" borderId="6" xfId="28" applyNumberFormat="1" applyFont="1" applyBorder="1"/>
    <xf numFmtId="166" fontId="44" fillId="0" borderId="6" xfId="1" applyNumberFormat="1" applyFont="1" applyFill="1" applyBorder="1" applyAlignment="1">
      <alignment vertical="center"/>
    </xf>
    <xf numFmtId="166" fontId="44" fillId="0" borderId="6" xfId="1" applyNumberFormat="1" applyFont="1" applyBorder="1" applyAlignment="1">
      <alignment vertical="center"/>
    </xf>
    <xf numFmtId="170" fontId="44" fillId="0" borderId="6" xfId="1" applyNumberFormat="1" applyFont="1" applyBorder="1" applyAlignment="1">
      <alignment vertical="center"/>
    </xf>
    <xf numFmtId="0" fontId="53" fillId="18" borderId="21" xfId="0" applyFont="1" applyFill="1" applyBorder="1" applyAlignment="1">
      <alignment horizontal="left" vertical="center"/>
    </xf>
    <xf numFmtId="0" fontId="44" fillId="18" borderId="21" xfId="0" applyFont="1" applyFill="1" applyBorder="1" applyAlignment="1">
      <alignment vertical="center"/>
    </xf>
    <xf numFmtId="0" fontId="44" fillId="0" borderId="6" xfId="0" applyFont="1" applyBorder="1" applyAlignment="1">
      <alignment horizontal="left" vertical="center"/>
    </xf>
    <xf numFmtId="0" fontId="44" fillId="0" borderId="6" xfId="0" applyFont="1" applyBorder="1" applyAlignment="1">
      <alignment horizontal="left" vertical="center" wrapText="1"/>
    </xf>
    <xf numFmtId="169" fontId="44" fillId="0" borderId="6" xfId="11" applyNumberFormat="1" applyFont="1" applyBorder="1" applyAlignment="1">
      <alignment vertical="center"/>
    </xf>
    <xf numFmtId="171" fontId="38" fillId="0" borderId="6" xfId="2" applyNumberFormat="1" applyFont="1" applyBorder="1"/>
    <xf numFmtId="164" fontId="44" fillId="0" borderId="6" xfId="0" applyNumberFormat="1" applyFont="1" applyBorder="1" applyAlignment="1">
      <alignment vertical="center"/>
    </xf>
    <xf numFmtId="0" fontId="44" fillId="18" borderId="21" xfId="0" applyFont="1" applyFill="1" applyBorder="1" applyAlignment="1">
      <alignment horizontal="left" vertical="center" wrapText="1"/>
    </xf>
    <xf numFmtId="164" fontId="44" fillId="18" borderId="21" xfId="0" applyNumberFormat="1" applyFont="1" applyFill="1" applyBorder="1" applyAlignment="1">
      <alignment vertical="center"/>
    </xf>
    <xf numFmtId="5" fontId="44" fillId="0" borderId="6" xfId="2" applyNumberFormat="1" applyFont="1" applyBorder="1" applyAlignment="1">
      <alignment vertical="center"/>
    </xf>
    <xf numFmtId="1" fontId="44" fillId="0" borderId="6" xfId="2" applyNumberFormat="1" applyFont="1" applyBorder="1" applyAlignment="1">
      <alignment vertical="center"/>
    </xf>
    <xf numFmtId="9" fontId="44" fillId="0" borderId="6" xfId="2" applyNumberFormat="1" applyFont="1" applyBorder="1" applyAlignment="1">
      <alignment vertical="center"/>
    </xf>
    <xf numFmtId="0" fontId="44" fillId="0" borderId="6" xfId="9" applyFont="1" applyBorder="1" applyAlignment="1">
      <alignment horizontal="left" vertical="center"/>
    </xf>
    <xf numFmtId="169" fontId="44" fillId="0" borderId="6" xfId="0" applyNumberFormat="1" applyFont="1" applyBorder="1"/>
    <xf numFmtId="2" fontId="44" fillId="0" borderId="6" xfId="0" applyNumberFormat="1" applyFont="1" applyBorder="1"/>
    <xf numFmtId="172" fontId="44" fillId="0" borderId="6" xfId="12" applyNumberFormat="1" applyFont="1" applyBorder="1" applyAlignment="1">
      <alignment vertical="center"/>
    </xf>
    <xf numFmtId="169" fontId="44" fillId="0" borderId="6" xfId="12" applyNumberFormat="1" applyFont="1" applyBorder="1" applyAlignment="1">
      <alignment vertical="center"/>
    </xf>
    <xf numFmtId="5" fontId="44" fillId="0" borderId="6" xfId="0" applyNumberFormat="1" applyFont="1" applyBorder="1" applyAlignment="1">
      <alignment vertical="center"/>
    </xf>
    <xf numFmtId="171" fontId="44" fillId="0" borderId="6" xfId="2" applyNumberFormat="1" applyFont="1" applyBorder="1" applyAlignment="1">
      <alignment vertical="center"/>
    </xf>
    <xf numFmtId="0" fontId="44" fillId="18" borderId="21" xfId="0" applyFont="1" applyFill="1" applyBorder="1" applyAlignment="1">
      <alignment horizontal="left" vertical="center"/>
    </xf>
    <xf numFmtId="0" fontId="53" fillId="18" borderId="21" xfId="9" applyFont="1" applyFill="1" applyBorder="1" applyAlignment="1">
      <alignment horizontal="left" vertical="center"/>
    </xf>
    <xf numFmtId="164" fontId="44" fillId="18" borderId="21" xfId="12" applyNumberFormat="1" applyFont="1" applyFill="1" applyBorder="1" applyAlignment="1">
      <alignment vertical="center"/>
    </xf>
    <xf numFmtId="0" fontId="44" fillId="0" borderId="8" xfId="0" applyFont="1" applyBorder="1" applyAlignment="1">
      <alignment horizontal="left" vertical="center" wrapText="1"/>
    </xf>
    <xf numFmtId="0" fontId="44" fillId="0" borderId="6" xfId="2" applyNumberFormat="1" applyFont="1" applyBorder="1" applyAlignment="1">
      <alignment vertical="center"/>
    </xf>
    <xf numFmtId="9" fontId="44" fillId="0" borderId="6" xfId="3" applyFont="1" applyBorder="1" applyAlignment="1">
      <alignment vertical="center"/>
    </xf>
    <xf numFmtId="0" fontId="44" fillId="0" borderId="13" xfId="0" applyFont="1" applyFill="1" applyBorder="1" applyAlignment="1">
      <alignment horizontal="left" vertical="center"/>
    </xf>
    <xf numFmtId="9" fontId="44" fillId="0" borderId="13" xfId="3" applyFont="1" applyFill="1" applyBorder="1" applyAlignment="1">
      <alignment vertical="center"/>
    </xf>
    <xf numFmtId="167" fontId="44" fillId="0" borderId="6" xfId="0" applyNumberFormat="1" applyFont="1" applyBorder="1" applyAlignment="1">
      <alignment vertical="center"/>
    </xf>
    <xf numFmtId="0" fontId="44" fillId="0" borderId="13" xfId="0" applyFont="1" applyBorder="1" applyAlignment="1">
      <alignment vertical="center"/>
    </xf>
    <xf numFmtId="171" fontId="44" fillId="0" borderId="13" xfId="0" applyNumberFormat="1" applyFont="1" applyBorder="1" applyAlignment="1">
      <alignment vertical="center"/>
    </xf>
    <xf numFmtId="9" fontId="44" fillId="0" borderId="8" xfId="3" applyFont="1" applyBorder="1" applyAlignment="1">
      <alignment vertical="center"/>
    </xf>
    <xf numFmtId="5" fontId="44" fillId="0" borderId="8" xfId="2" applyNumberFormat="1" applyFont="1" applyBorder="1" applyAlignment="1">
      <alignment vertical="center"/>
    </xf>
    <xf numFmtId="0" fontId="44" fillId="0" borderId="13" xfId="0" applyFont="1" applyBorder="1" applyAlignment="1">
      <alignment horizontal="left" vertical="center"/>
    </xf>
    <xf numFmtId="171" fontId="44" fillId="0" borderId="13" xfId="2" applyNumberFormat="1" applyFont="1" applyBorder="1" applyAlignment="1">
      <alignment vertical="center"/>
    </xf>
    <xf numFmtId="0" fontId="44" fillId="0" borderId="8" xfId="0" applyFont="1" applyBorder="1" applyAlignment="1">
      <alignment horizontal="left" vertical="center"/>
    </xf>
    <xf numFmtId="6" fontId="44" fillId="0" borderId="8" xfId="0" applyNumberFormat="1" applyFont="1" applyBorder="1" applyAlignment="1">
      <alignment vertical="center"/>
    </xf>
    <xf numFmtId="166" fontId="44" fillId="0" borderId="13" xfId="1" applyNumberFormat="1" applyFont="1" applyBorder="1" applyAlignment="1">
      <alignment vertical="center"/>
    </xf>
    <xf numFmtId="0" fontId="31" fillId="18" borderId="15" xfId="0" applyFont="1" applyFill="1" applyBorder="1" applyAlignment="1">
      <alignment horizontal="center" vertical="center" textRotation="90" wrapText="1"/>
    </xf>
    <xf numFmtId="170" fontId="44" fillId="18" borderId="21" xfId="1" applyNumberFormat="1" applyFont="1" applyFill="1" applyBorder="1" applyAlignment="1">
      <alignment vertical="center"/>
    </xf>
    <xf numFmtId="0" fontId="44" fillId="0" borderId="13" xfId="0" applyFont="1" applyBorder="1" applyAlignment="1">
      <alignment horizontal="left" vertical="center" wrapText="1"/>
    </xf>
    <xf numFmtId="170" fontId="44" fillId="0" borderId="13" xfId="1" applyNumberFormat="1" applyFont="1" applyBorder="1" applyAlignment="1">
      <alignment vertical="center"/>
    </xf>
    <xf numFmtId="0" fontId="42" fillId="0" borderId="18" xfId="0" applyFont="1" applyBorder="1" applyAlignment="1">
      <alignment vertical="center"/>
    </xf>
    <xf numFmtId="0" fontId="42" fillId="0" borderId="19" xfId="0" applyFont="1" applyBorder="1" applyAlignment="1">
      <alignment vertical="center"/>
    </xf>
    <xf numFmtId="0" fontId="45" fillId="0" borderId="19" xfId="0" applyFont="1" applyBorder="1" applyAlignment="1">
      <alignment horizontal="left" wrapText="1"/>
    </xf>
    <xf numFmtId="0" fontId="42" fillId="0" borderId="20" xfId="0" applyFont="1" applyBorder="1" applyAlignment="1">
      <alignment vertical="center"/>
    </xf>
    <xf numFmtId="0" fontId="2" fillId="0" borderId="0" xfId="0" applyFont="1" applyAlignment="1">
      <alignment vertical="center"/>
    </xf>
    <xf numFmtId="0" fontId="44" fillId="0" borderId="11" xfId="0" applyFont="1" applyBorder="1" applyAlignment="1">
      <alignment vertical="center" wrapText="1"/>
    </xf>
    <xf numFmtId="0" fontId="44" fillId="0" borderId="9" xfId="23" applyFont="1" applyFill="1" applyBorder="1" applyAlignment="1">
      <alignment wrapText="1"/>
    </xf>
    <xf numFmtId="0" fontId="44" fillId="0" borderId="11" xfId="0" applyFont="1" applyFill="1" applyBorder="1" applyAlignment="1">
      <alignment vertical="center" wrapText="1"/>
    </xf>
    <xf numFmtId="0" fontId="44" fillId="0" borderId="14" xfId="0" applyFont="1" applyBorder="1" applyAlignment="1">
      <alignment vertical="center" wrapText="1"/>
    </xf>
    <xf numFmtId="0" fontId="44" fillId="18" borderId="22" xfId="0" applyFont="1" applyFill="1" applyBorder="1" applyAlignment="1">
      <alignment vertical="center" wrapText="1"/>
    </xf>
    <xf numFmtId="0" fontId="44" fillId="0" borderId="11" xfId="23" applyFont="1" applyFill="1" applyBorder="1" applyAlignment="1">
      <alignment wrapText="1"/>
    </xf>
    <xf numFmtId="0" fontId="54" fillId="0" borderId="11" xfId="17" applyFont="1" applyBorder="1" applyAlignment="1" applyProtection="1">
      <alignment wrapText="1"/>
    </xf>
    <xf numFmtId="164" fontId="44" fillId="0" borderId="11" xfId="12" applyNumberFormat="1" applyFont="1" applyBorder="1" applyAlignment="1">
      <alignment vertical="center" wrapText="1"/>
    </xf>
    <xf numFmtId="0" fontId="44" fillId="0" borderId="11" xfId="0" applyFont="1" applyBorder="1" applyAlignment="1">
      <alignment wrapText="1"/>
    </xf>
    <xf numFmtId="0" fontId="54" fillId="0" borderId="11" xfId="17" applyFont="1" applyBorder="1" applyAlignment="1" applyProtection="1">
      <alignment vertical="center" wrapText="1"/>
    </xf>
    <xf numFmtId="0" fontId="44" fillId="0" borderId="11" xfId="18" applyFont="1" applyBorder="1" applyAlignment="1">
      <alignment wrapText="1"/>
    </xf>
    <xf numFmtId="0" fontId="44" fillId="18" borderId="22" xfId="18" applyFont="1" applyFill="1" applyBorder="1" applyAlignment="1">
      <alignment wrapText="1"/>
    </xf>
    <xf numFmtId="0" fontId="44" fillId="0" borderId="9" xfId="0" applyFont="1" applyBorder="1" applyAlignment="1">
      <alignment vertical="center" wrapText="1"/>
    </xf>
    <xf numFmtId="0" fontId="44" fillId="2" borderId="11" xfId="0" applyFont="1" applyFill="1" applyBorder="1" applyAlignment="1">
      <alignment vertical="center" wrapText="1"/>
    </xf>
    <xf numFmtId="0" fontId="55" fillId="0" borderId="11" xfId="0" applyFont="1" applyFill="1" applyBorder="1" applyAlignment="1">
      <alignment wrapText="1"/>
    </xf>
    <xf numFmtId="0" fontId="44" fillId="0" borderId="11" xfId="23" applyFont="1" applyBorder="1" applyAlignment="1">
      <alignment wrapText="1"/>
    </xf>
    <xf numFmtId="44" fontId="44" fillId="0" borderId="11" xfId="12" applyFont="1" applyFill="1" applyBorder="1" applyAlignment="1">
      <alignment vertical="center" wrapText="1"/>
    </xf>
    <xf numFmtId="44" fontId="44" fillId="18" borderId="22" xfId="12" applyFont="1" applyFill="1" applyBorder="1" applyAlignment="1">
      <alignment vertical="center" wrapText="1"/>
    </xf>
    <xf numFmtId="0" fontId="44" fillId="0" borderId="9" xfId="0" applyFont="1" applyFill="1" applyBorder="1" applyAlignment="1">
      <alignment vertical="center" wrapText="1"/>
    </xf>
    <xf numFmtId="0" fontId="44" fillId="0" borderId="14" xfId="18" applyFont="1" applyFill="1" applyBorder="1" applyAlignment="1">
      <alignment wrapText="1"/>
    </xf>
    <xf numFmtId="166" fontId="53" fillId="0" borderId="6" xfId="28" applyNumberFormat="1" applyFont="1" applyFill="1" applyBorder="1"/>
    <xf numFmtId="166" fontId="53" fillId="0" borderId="6" xfId="1" applyNumberFormat="1" applyFont="1" applyFill="1" applyBorder="1" applyAlignment="1">
      <alignment vertical="center"/>
    </xf>
    <xf numFmtId="166" fontId="53" fillId="0" borderId="6" xfId="1" applyNumberFormat="1" applyFont="1" applyBorder="1" applyAlignment="1">
      <alignment vertical="center"/>
    </xf>
    <xf numFmtId="170" fontId="53" fillId="0" borderId="13" xfId="1" applyNumberFormat="1" applyFont="1" applyBorder="1" applyAlignment="1">
      <alignment vertical="center"/>
    </xf>
    <xf numFmtId="164" fontId="53" fillId="0" borderId="8" xfId="3" applyNumberFormat="1" applyFont="1" applyBorder="1" applyAlignment="1">
      <alignment vertical="center"/>
    </xf>
    <xf numFmtId="6" fontId="53" fillId="0" borderId="8" xfId="0" applyNumberFormat="1" applyFont="1" applyBorder="1" applyAlignment="1">
      <alignment vertical="center"/>
    </xf>
    <xf numFmtId="0" fontId="53" fillId="0" borderId="6" xfId="0" applyFont="1" applyBorder="1" applyAlignment="1">
      <alignment vertical="center"/>
    </xf>
    <xf numFmtId="2" fontId="53" fillId="0" borderId="6" xfId="27" applyNumberFormat="1" applyFont="1" applyBorder="1"/>
    <xf numFmtId="164" fontId="53" fillId="0" borderId="6" xfId="12" applyNumberFormat="1" applyFont="1" applyBorder="1" applyAlignment="1">
      <alignment vertical="center"/>
    </xf>
    <xf numFmtId="169" fontId="53" fillId="0" borderId="6" xfId="11" applyNumberFormat="1" applyFont="1" applyBorder="1" applyAlignment="1">
      <alignment vertical="center"/>
    </xf>
    <xf numFmtId="171" fontId="57" fillId="0" borderId="6" xfId="2" applyNumberFormat="1" applyFont="1" applyBorder="1"/>
    <xf numFmtId="164" fontId="53" fillId="0" borderId="6" xfId="0" applyNumberFormat="1" applyFont="1" applyBorder="1" applyAlignment="1">
      <alignment vertical="center"/>
    </xf>
    <xf numFmtId="166" fontId="53" fillId="0" borderId="13" xfId="1" applyNumberFormat="1" applyFont="1" applyBorder="1" applyAlignment="1">
      <alignment vertical="center"/>
    </xf>
    <xf numFmtId="5" fontId="53" fillId="0" borderId="8" xfId="2" applyNumberFormat="1" applyFont="1" applyBorder="1" applyAlignment="1">
      <alignment vertical="center"/>
    </xf>
    <xf numFmtId="5" fontId="53" fillId="0" borderId="6" xfId="2" applyNumberFormat="1" applyFont="1" applyBorder="1" applyAlignment="1">
      <alignment vertical="center"/>
    </xf>
    <xf numFmtId="0" fontId="53" fillId="19" borderId="6" xfId="0" applyFont="1" applyFill="1" applyBorder="1" applyAlignment="1">
      <alignment vertical="center"/>
    </xf>
    <xf numFmtId="9" fontId="53" fillId="0" borderId="6" xfId="2" applyNumberFormat="1" applyFont="1" applyBorder="1" applyAlignment="1">
      <alignment vertical="center"/>
    </xf>
    <xf numFmtId="169" fontId="53" fillId="0" borderId="6" xfId="0" applyNumberFormat="1" applyFont="1" applyBorder="1"/>
    <xf numFmtId="2" fontId="53" fillId="0" borderId="6" xfId="0" applyNumberFormat="1" applyFont="1" applyBorder="1"/>
    <xf numFmtId="172" fontId="53" fillId="0" borderId="6" xfId="12" applyNumberFormat="1" applyFont="1" applyBorder="1" applyAlignment="1">
      <alignment vertical="center"/>
    </xf>
    <xf numFmtId="169" fontId="53" fillId="0" borderId="6" xfId="12" applyNumberFormat="1" applyFont="1" applyFill="1" applyBorder="1" applyAlignment="1">
      <alignment vertical="center"/>
    </xf>
    <xf numFmtId="5" fontId="53" fillId="0" borderId="13" xfId="2" applyNumberFormat="1" applyFont="1" applyBorder="1" applyAlignment="1">
      <alignment vertical="center"/>
    </xf>
    <xf numFmtId="0" fontId="53" fillId="19" borderId="8" xfId="0" applyFont="1" applyFill="1" applyBorder="1" applyAlignment="1">
      <alignment vertical="center"/>
    </xf>
    <xf numFmtId="171" fontId="53" fillId="19" borderId="6" xfId="2" applyNumberFormat="1" applyFont="1" applyFill="1" applyBorder="1" applyAlignment="1">
      <alignment vertical="center"/>
    </xf>
    <xf numFmtId="171" fontId="53" fillId="19" borderId="6" xfId="0" applyNumberFormat="1" applyFont="1" applyFill="1" applyBorder="1" applyAlignment="1">
      <alignment vertical="center"/>
    </xf>
    <xf numFmtId="0" fontId="53" fillId="19" borderId="6" xfId="2" applyNumberFormat="1" applyFont="1" applyFill="1" applyBorder="1" applyAlignment="1">
      <alignment vertical="center"/>
    </xf>
    <xf numFmtId="1" fontId="53" fillId="0" borderId="6" xfId="2" applyNumberFormat="1" applyFont="1" applyBorder="1" applyAlignment="1">
      <alignment vertical="center"/>
    </xf>
    <xf numFmtId="0" fontId="53" fillId="0" borderId="6" xfId="2" applyNumberFormat="1" applyFont="1" applyBorder="1" applyAlignment="1">
      <alignment vertical="center"/>
    </xf>
    <xf numFmtId="171" fontId="53" fillId="0" borderId="6" xfId="2" applyNumberFormat="1" applyFont="1" applyBorder="1" applyAlignment="1">
      <alignment vertical="center"/>
    </xf>
    <xf numFmtId="9" fontId="53" fillId="0" borderId="6" xfId="3" applyFont="1" applyBorder="1" applyAlignment="1">
      <alignment vertical="center"/>
    </xf>
    <xf numFmtId="9" fontId="53" fillId="0" borderId="13" xfId="3" applyFont="1" applyFill="1" applyBorder="1" applyAlignment="1">
      <alignment vertical="center"/>
    </xf>
    <xf numFmtId="9" fontId="53" fillId="0" borderId="8" xfId="3" applyFont="1" applyBorder="1" applyAlignment="1">
      <alignment vertical="center"/>
    </xf>
    <xf numFmtId="167" fontId="53" fillId="0" borderId="6" xfId="0" applyNumberFormat="1" applyFont="1" applyBorder="1" applyAlignment="1">
      <alignment vertical="center"/>
    </xf>
    <xf numFmtId="171" fontId="53" fillId="0" borderId="13" xfId="0" applyNumberFormat="1" applyFont="1" applyBorder="1" applyAlignment="1">
      <alignment vertical="center"/>
    </xf>
    <xf numFmtId="1" fontId="53" fillId="19" borderId="6" xfId="2" applyNumberFormat="1" applyFont="1" applyFill="1" applyBorder="1" applyAlignment="1">
      <alignment vertical="center"/>
    </xf>
    <xf numFmtId="0" fontId="53" fillId="0" borderId="27" xfId="9" applyFont="1" applyBorder="1" applyAlignment="1">
      <alignment horizontal="left" vertical="center"/>
    </xf>
    <xf numFmtId="0" fontId="53" fillId="0" borderId="5" xfId="0" applyFont="1" applyBorder="1" applyAlignment="1">
      <alignment horizontal="left" vertical="center"/>
    </xf>
    <xf numFmtId="0" fontId="53" fillId="0" borderId="28" xfId="0" applyFont="1" applyBorder="1" applyAlignment="1">
      <alignment horizontal="left" vertical="center"/>
    </xf>
    <xf numFmtId="0" fontId="42" fillId="0" borderId="29" xfId="0" applyFont="1" applyBorder="1" applyAlignment="1">
      <alignment horizontal="left" vertical="center"/>
    </xf>
    <xf numFmtId="0" fontId="44" fillId="0" borderId="30" xfId="0" applyFont="1" applyBorder="1" applyAlignment="1">
      <alignment vertical="center"/>
    </xf>
    <xf numFmtId="0" fontId="44" fillId="0" borderId="4" xfId="0" applyFont="1" applyBorder="1" applyAlignment="1">
      <alignment vertical="center"/>
    </xf>
    <xf numFmtId="0" fontId="44" fillId="0" borderId="31" xfId="0" applyFont="1" applyBorder="1" applyAlignment="1">
      <alignment vertical="center"/>
    </xf>
    <xf numFmtId="164" fontId="44" fillId="0" borderId="32" xfId="3" applyNumberFormat="1" applyFont="1" applyFill="1" applyBorder="1" applyAlignment="1">
      <alignment vertical="center"/>
    </xf>
    <xf numFmtId="166" fontId="44" fillId="0" borderId="33" xfId="28" applyNumberFormat="1" applyFont="1" applyFill="1" applyBorder="1"/>
    <xf numFmtId="166" fontId="44" fillId="0" borderId="33" xfId="1" applyNumberFormat="1" applyFont="1" applyFill="1" applyBorder="1" applyAlignment="1">
      <alignment vertical="center"/>
    </xf>
    <xf numFmtId="166" fontId="44" fillId="0" borderId="33" xfId="1" applyNumberFormat="1" applyFont="1" applyBorder="1" applyAlignment="1">
      <alignment vertical="center"/>
    </xf>
    <xf numFmtId="170" fontId="44" fillId="0" borderId="34" xfId="1" applyNumberFormat="1" applyFont="1" applyBorder="1" applyAlignment="1">
      <alignment vertical="center"/>
    </xf>
    <xf numFmtId="0" fontId="53" fillId="0" borderId="27" xfId="0" applyFont="1" applyBorder="1" applyAlignment="1">
      <alignment horizontal="left" vertical="center"/>
    </xf>
    <xf numFmtId="0" fontId="53" fillId="0" borderId="5" xfId="9" applyFont="1" applyBorder="1" applyAlignment="1">
      <alignment horizontal="left" vertical="center"/>
    </xf>
    <xf numFmtId="0" fontId="53" fillId="0" borderId="28" xfId="9" applyFont="1" applyBorder="1" applyAlignment="1">
      <alignment horizontal="left" vertical="center"/>
    </xf>
    <xf numFmtId="0" fontId="38" fillId="0" borderId="4" xfId="0" applyFont="1" applyBorder="1"/>
    <xf numFmtId="6" fontId="44" fillId="0" borderId="32" xfId="0" applyNumberFormat="1" applyFont="1" applyBorder="1" applyAlignment="1">
      <alignment vertical="center"/>
    </xf>
    <xf numFmtId="0" fontId="44" fillId="0" borderId="33" xfId="0" applyFont="1" applyBorder="1" applyAlignment="1">
      <alignment vertical="center"/>
    </xf>
    <xf numFmtId="169" fontId="44" fillId="0" borderId="33" xfId="27" applyNumberFormat="1" applyFont="1" applyBorder="1"/>
    <xf numFmtId="164" fontId="44" fillId="0" borderId="33" xfId="12" applyNumberFormat="1" applyFont="1" applyBorder="1" applyAlignment="1">
      <alignment vertical="center"/>
    </xf>
    <xf numFmtId="169" fontId="44" fillId="0" borderId="33" xfId="11" applyNumberFormat="1" applyFont="1" applyBorder="1" applyAlignment="1">
      <alignment vertical="center"/>
    </xf>
    <xf numFmtId="171" fontId="38" fillId="0" borderId="33" xfId="2" applyNumberFormat="1" applyFont="1" applyBorder="1"/>
    <xf numFmtId="164" fontId="44" fillId="0" borderId="33" xfId="0" applyNumberFormat="1" applyFont="1" applyBorder="1" applyAlignment="1">
      <alignment vertical="center"/>
    </xf>
    <xf numFmtId="166" fontId="44" fillId="20" borderId="34" xfId="1" applyNumberFormat="1" applyFont="1" applyFill="1" applyBorder="1" applyAlignment="1">
      <alignment vertical="center"/>
    </xf>
    <xf numFmtId="0" fontId="53" fillId="0" borderId="5" xfId="0" applyFont="1" applyFill="1" applyBorder="1" applyAlignment="1">
      <alignment horizontal="left" vertical="center"/>
    </xf>
    <xf numFmtId="0" fontId="53" fillId="0" borderId="28" xfId="0" applyFont="1" applyFill="1" applyBorder="1" applyAlignment="1">
      <alignment horizontal="left" vertical="center"/>
    </xf>
    <xf numFmtId="0" fontId="44" fillId="0" borderId="4" xfId="0" applyFont="1" applyFill="1" applyBorder="1" applyAlignment="1">
      <alignment vertical="center"/>
    </xf>
    <xf numFmtId="0" fontId="44" fillId="0" borderId="4" xfId="0" applyFont="1" applyBorder="1"/>
    <xf numFmtId="0" fontId="44" fillId="0" borderId="31" xfId="0" applyFont="1" applyFill="1" applyBorder="1" applyAlignment="1">
      <alignment vertical="center"/>
    </xf>
    <xf numFmtId="5" fontId="44" fillId="0" borderId="32" xfId="2" applyNumberFormat="1" applyFont="1" applyBorder="1" applyAlignment="1">
      <alignment vertical="center"/>
    </xf>
    <xf numFmtId="5" fontId="44" fillId="19" borderId="33" xfId="2" applyNumberFormat="1" applyFont="1" applyFill="1" applyBorder="1" applyAlignment="1">
      <alignment vertical="center"/>
    </xf>
    <xf numFmtId="0" fontId="44" fillId="19" borderId="33" xfId="0" applyFont="1" applyFill="1" applyBorder="1" applyAlignment="1">
      <alignment vertical="center"/>
    </xf>
    <xf numFmtId="1" fontId="44" fillId="16" borderId="33" xfId="2" applyNumberFormat="1" applyFont="1" applyFill="1" applyBorder="1" applyAlignment="1">
      <alignment vertical="center"/>
    </xf>
    <xf numFmtId="9" fontId="44" fillId="0" borderId="33" xfId="2" applyNumberFormat="1" applyFont="1" applyFill="1" applyBorder="1" applyAlignment="1">
      <alignment vertical="center"/>
    </xf>
    <xf numFmtId="169" fontId="44" fillId="0" borderId="33" xfId="0" applyNumberFormat="1" applyFont="1" applyBorder="1"/>
    <xf numFmtId="2" fontId="44" fillId="0" borderId="33" xfId="0" applyNumberFormat="1" applyFont="1" applyBorder="1"/>
    <xf numFmtId="172" fontId="44" fillId="0" borderId="33" xfId="12" applyNumberFormat="1" applyFont="1" applyFill="1" applyBorder="1" applyAlignment="1">
      <alignment vertical="center"/>
    </xf>
    <xf numFmtId="169" fontId="44" fillId="0" borderId="33" xfId="12" applyNumberFormat="1" applyFont="1" applyFill="1" applyBorder="1" applyAlignment="1">
      <alignment vertical="center"/>
    </xf>
    <xf numFmtId="10" fontId="44" fillId="0" borderId="33" xfId="3" applyNumberFormat="1" applyFont="1" applyBorder="1" applyAlignment="1">
      <alignment vertical="center"/>
    </xf>
    <xf numFmtId="5" fontId="44" fillId="16" borderId="33" xfId="2" applyNumberFormat="1" applyFont="1" applyFill="1" applyBorder="1" applyAlignment="1">
      <alignment vertical="center"/>
    </xf>
    <xf numFmtId="5" fontId="44" fillId="16" borderId="33" xfId="0" applyNumberFormat="1" applyFont="1" applyFill="1" applyBorder="1" applyAlignment="1">
      <alignment vertical="center"/>
    </xf>
    <xf numFmtId="166" fontId="44" fillId="16" borderId="33" xfId="1" applyNumberFormat="1" applyFont="1" applyFill="1" applyBorder="1" applyAlignment="1">
      <alignment vertical="center"/>
    </xf>
    <xf numFmtId="170" fontId="44" fillId="16" borderId="33" xfId="1" applyNumberFormat="1" applyFont="1" applyFill="1" applyBorder="1" applyAlignment="1">
      <alignment vertical="center"/>
    </xf>
    <xf numFmtId="171" fontId="44" fillId="16" borderId="34" xfId="2" applyNumberFormat="1" applyFont="1" applyFill="1" applyBorder="1" applyAlignment="1">
      <alignment vertical="center"/>
    </xf>
    <xf numFmtId="0" fontId="53" fillId="0" borderId="28" xfId="9" applyFont="1" applyFill="1" applyBorder="1" applyAlignment="1">
      <alignment horizontal="left" vertical="center"/>
    </xf>
    <xf numFmtId="0" fontId="44" fillId="0" borderId="27" xfId="0" applyFont="1" applyBorder="1" applyAlignment="1">
      <alignment vertical="center"/>
    </xf>
    <xf numFmtId="0" fontId="44" fillId="0" borderId="5" xfId="0" applyFont="1" applyBorder="1" applyAlignment="1">
      <alignment vertical="center"/>
    </xf>
    <xf numFmtId="0" fontId="44" fillId="0" borderId="28" xfId="0" applyFont="1" applyBorder="1" applyAlignment="1">
      <alignment vertical="center"/>
    </xf>
    <xf numFmtId="0" fontId="44" fillId="0" borderId="30" xfId="0" applyFont="1" applyFill="1" applyBorder="1" applyAlignment="1">
      <alignment vertical="center"/>
    </xf>
    <xf numFmtId="171" fontId="44" fillId="0" borderId="4" xfId="0" applyNumberFormat="1" applyFont="1" applyBorder="1" applyAlignment="1">
      <alignment vertical="center"/>
    </xf>
    <xf numFmtId="171" fontId="44" fillId="0" borderId="31" xfId="0" applyNumberFormat="1" applyFont="1" applyBorder="1" applyAlignment="1">
      <alignment vertical="center"/>
    </xf>
    <xf numFmtId="0" fontId="44" fillId="19" borderId="32" xfId="0" applyFont="1" applyFill="1" applyBorder="1" applyAlignment="1">
      <alignment vertical="center"/>
    </xf>
    <xf numFmtId="171" fontId="44" fillId="19" borderId="33" xfId="2" applyNumberFormat="1" applyFont="1" applyFill="1" applyBorder="1" applyAlignment="1">
      <alignment vertical="center"/>
    </xf>
    <xf numFmtId="171" fontId="44" fillId="19" borderId="33" xfId="0" applyNumberFormat="1" applyFont="1" applyFill="1" applyBorder="1" applyAlignment="1">
      <alignment vertical="center"/>
    </xf>
    <xf numFmtId="0" fontId="44" fillId="19" borderId="33" xfId="2" applyNumberFormat="1" applyFont="1" applyFill="1" applyBorder="1" applyAlignment="1">
      <alignment vertical="center"/>
    </xf>
    <xf numFmtId="0" fontId="44" fillId="16" borderId="33" xfId="2" applyNumberFormat="1" applyFont="1" applyFill="1" applyBorder="1" applyAlignment="1">
      <alignment vertical="center"/>
    </xf>
    <xf numFmtId="171" fontId="44" fillId="16" borderId="33" xfId="2" applyNumberFormat="1" applyFont="1" applyFill="1" applyBorder="1" applyAlignment="1">
      <alignment vertical="center"/>
    </xf>
    <xf numFmtId="9" fontId="44" fillId="16" borderId="33" xfId="3" applyFont="1" applyFill="1" applyBorder="1" applyAlignment="1">
      <alignment vertical="center"/>
    </xf>
    <xf numFmtId="9" fontId="44" fillId="0" borderId="34" xfId="3" applyFont="1" applyFill="1" applyBorder="1" applyAlignment="1">
      <alignment vertical="center"/>
    </xf>
    <xf numFmtId="167" fontId="44" fillId="0" borderId="32" xfId="3" applyNumberFormat="1" applyFont="1" applyFill="1" applyBorder="1" applyAlignment="1">
      <alignment vertical="center"/>
    </xf>
    <xf numFmtId="167" fontId="44" fillId="0" borderId="33" xfId="0" applyNumberFormat="1" applyFont="1" applyFill="1" applyBorder="1" applyAlignment="1">
      <alignment vertical="center"/>
    </xf>
    <xf numFmtId="169" fontId="44" fillId="0" borderId="33" xfId="0" applyNumberFormat="1" applyFont="1" applyFill="1" applyBorder="1" applyAlignment="1">
      <alignment vertical="center"/>
    </xf>
    <xf numFmtId="0" fontId="42" fillId="5" borderId="25" xfId="0" applyFont="1" applyFill="1" applyBorder="1" applyAlignment="1">
      <alignment horizontal="center" vertical="center" wrapText="1"/>
    </xf>
    <xf numFmtId="0" fontId="42" fillId="0" borderId="26" xfId="0" applyFont="1" applyBorder="1" applyAlignment="1">
      <alignment horizontal="center" vertical="center"/>
    </xf>
    <xf numFmtId="0" fontId="56" fillId="0" borderId="0" xfId="0" applyFont="1" applyBorder="1" applyAlignment="1">
      <alignment wrapText="1"/>
    </xf>
    <xf numFmtId="0" fontId="0" fillId="0" borderId="0" xfId="0" applyBorder="1"/>
    <xf numFmtId="0" fontId="0" fillId="0" borderId="0" xfId="0" applyBorder="1" applyAlignment="1">
      <alignment wrapText="1"/>
    </xf>
    <xf numFmtId="0" fontId="46" fillId="0" borderId="0" xfId="17" applyBorder="1" applyAlignment="1" applyProtection="1"/>
    <xf numFmtId="0" fontId="0" fillId="0" borderId="0" xfId="0" quotePrefix="1" applyBorder="1" applyAlignment="1">
      <alignment wrapText="1"/>
    </xf>
    <xf numFmtId="0" fontId="56" fillId="0" borderId="0" xfId="0" quotePrefix="1" applyFont="1" applyBorder="1" applyAlignment="1">
      <alignment wrapText="1"/>
    </xf>
    <xf numFmtId="5" fontId="36" fillId="21" borderId="6" xfId="0" applyNumberFormat="1" applyFont="1" applyFill="1" applyBorder="1" applyAlignment="1">
      <alignment vertical="center"/>
    </xf>
    <xf numFmtId="168" fontId="36" fillId="21" borderId="6" xfId="0" applyNumberFormat="1" applyFont="1" applyFill="1" applyBorder="1" applyAlignment="1">
      <alignment vertical="center"/>
    </xf>
    <xf numFmtId="166" fontId="36" fillId="21" borderId="13" xfId="1" applyNumberFormat="1" applyFont="1" applyFill="1" applyBorder="1" applyAlignment="1">
      <alignment vertical="center"/>
    </xf>
    <xf numFmtId="0" fontId="1" fillId="0" borderId="0" xfId="0" applyFont="1" applyAlignment="1">
      <alignment vertical="center"/>
    </xf>
    <xf numFmtId="0" fontId="58" fillId="0" borderId="0" xfId="0" applyFont="1" applyAlignment="1">
      <alignment wrapText="1"/>
    </xf>
    <xf numFmtId="0" fontId="0" fillId="0" borderId="0" xfId="0" applyAlignment="1">
      <alignment wrapText="1"/>
    </xf>
    <xf numFmtId="0" fontId="0" fillId="0" borderId="0" xfId="0" applyFill="1" applyBorder="1" applyAlignment="1">
      <alignment wrapText="1"/>
    </xf>
    <xf numFmtId="0" fontId="56" fillId="0" borderId="0" xfId="0" applyFont="1" applyFill="1" applyBorder="1" applyAlignment="1">
      <alignment wrapText="1"/>
    </xf>
    <xf numFmtId="0" fontId="59" fillId="0" borderId="0" xfId="0" applyFont="1" applyBorder="1"/>
    <xf numFmtId="0" fontId="59" fillId="0" borderId="0" xfId="0" applyFont="1" applyFill="1" applyBorder="1"/>
    <xf numFmtId="0" fontId="20" fillId="11" borderId="7" xfId="0" applyFont="1" applyFill="1" applyBorder="1" applyAlignment="1">
      <alignment horizontal="center" vertical="center" textRotation="90" wrapText="1"/>
    </xf>
    <xf numFmtId="0" fontId="20" fillId="11" borderId="10" xfId="0" applyFont="1" applyFill="1" applyBorder="1" applyAlignment="1">
      <alignment horizontal="center" vertical="center" textRotation="90" wrapText="1"/>
    </xf>
    <xf numFmtId="0" fontId="20" fillId="11" borderId="12" xfId="0" applyFont="1" applyFill="1" applyBorder="1" applyAlignment="1">
      <alignment horizontal="center" vertical="center" textRotation="90" wrapText="1"/>
    </xf>
    <xf numFmtId="0" fontId="5" fillId="17" borderId="7" xfId="0" applyFont="1" applyFill="1" applyBorder="1" applyAlignment="1">
      <alignment horizontal="center" vertical="center" textRotation="90"/>
    </xf>
    <xf numFmtId="0" fontId="5" fillId="17" borderId="10" xfId="0" applyFont="1" applyFill="1" applyBorder="1" applyAlignment="1">
      <alignment horizontal="center" vertical="center" textRotation="90"/>
    </xf>
    <xf numFmtId="0" fontId="5" fillId="17" borderId="12" xfId="0" applyFont="1" applyFill="1" applyBorder="1" applyAlignment="1">
      <alignment horizontal="center" vertical="center" textRotation="90"/>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28" fillId="5" borderId="7" xfId="0" applyFont="1" applyFill="1" applyBorder="1" applyAlignment="1">
      <alignment horizontal="center" vertical="center" textRotation="90" wrapText="1"/>
    </xf>
    <xf numFmtId="0" fontId="28" fillId="5" borderId="10" xfId="0" applyFont="1" applyFill="1" applyBorder="1" applyAlignment="1">
      <alignment horizontal="center" vertical="center" textRotation="90" wrapText="1"/>
    </xf>
    <xf numFmtId="0" fontId="31" fillId="5" borderId="10" xfId="0" applyFont="1" applyFill="1" applyBorder="1" applyAlignment="1">
      <alignment horizontal="center" vertical="center" textRotation="90" wrapText="1"/>
    </xf>
    <xf numFmtId="0" fontId="31" fillId="5" borderId="12" xfId="0" applyFont="1" applyFill="1" applyBorder="1" applyAlignment="1">
      <alignment horizontal="center" vertical="center" textRotation="90" wrapText="1"/>
    </xf>
    <xf numFmtId="0" fontId="31" fillId="15" borderId="7" xfId="0" applyFont="1" applyFill="1" applyBorder="1" applyAlignment="1">
      <alignment horizontal="center" vertical="center" textRotation="90"/>
    </xf>
    <xf numFmtId="0" fontId="31" fillId="15" borderId="10" xfId="0" applyFont="1" applyFill="1" applyBorder="1" applyAlignment="1">
      <alignment horizontal="center" vertical="center" textRotation="90"/>
    </xf>
    <xf numFmtId="0" fontId="31" fillId="15" borderId="12" xfId="0" applyFont="1" applyFill="1" applyBorder="1" applyAlignment="1">
      <alignment horizontal="center" vertical="center" textRotation="90"/>
    </xf>
    <xf numFmtId="0" fontId="42" fillId="0" borderId="16" xfId="0" applyFont="1" applyBorder="1" applyAlignment="1">
      <alignment horizontal="center" vertical="center"/>
    </xf>
    <xf numFmtId="0" fontId="42" fillId="0" borderId="23" xfId="0" applyFont="1" applyBorder="1" applyAlignment="1">
      <alignment horizontal="center" vertical="center"/>
    </xf>
    <xf numFmtId="0" fontId="42" fillId="0" borderId="24" xfId="0" applyFont="1" applyBorder="1" applyAlignment="1">
      <alignment horizontal="center" vertical="center"/>
    </xf>
    <xf numFmtId="0" fontId="10" fillId="3" borderId="7" xfId="0" applyFont="1" applyFill="1" applyBorder="1" applyAlignment="1">
      <alignment horizontal="center" vertical="center" textRotation="90"/>
    </xf>
    <xf numFmtId="0" fontId="10" fillId="3" borderId="10" xfId="0" applyFont="1" applyFill="1" applyBorder="1" applyAlignment="1">
      <alignment horizontal="center" vertical="center" textRotation="90"/>
    </xf>
    <xf numFmtId="0" fontId="10" fillId="3" borderId="12" xfId="0" applyFont="1" applyFill="1" applyBorder="1" applyAlignment="1">
      <alignment horizontal="center" vertical="center" textRotation="90"/>
    </xf>
    <xf numFmtId="0" fontId="42" fillId="14" borderId="5" xfId="0" applyFont="1" applyFill="1" applyBorder="1" applyAlignment="1">
      <alignment horizontal="left" vertical="center"/>
    </xf>
    <xf numFmtId="0" fontId="42" fillId="14" borderId="4" xfId="0" applyFont="1" applyFill="1" applyBorder="1" applyAlignment="1">
      <alignment horizontal="left" vertical="center"/>
    </xf>
    <xf numFmtId="0" fontId="42" fillId="7" borderId="2" xfId="0" applyFont="1" applyFill="1" applyBorder="1" applyAlignment="1">
      <alignment vertical="center"/>
    </xf>
    <xf numFmtId="0" fontId="35" fillId="2" borderId="2" xfId="0" applyFont="1" applyFill="1" applyBorder="1" applyAlignment="1">
      <alignment horizontal="left" vertical="center"/>
    </xf>
    <xf numFmtId="0" fontId="36" fillId="2" borderId="2" xfId="0" applyFont="1" applyFill="1" applyBorder="1" applyAlignment="1">
      <alignment horizontal="left" vertical="center"/>
    </xf>
    <xf numFmtId="0" fontId="35" fillId="10" borderId="2" xfId="0" applyFont="1" applyFill="1" applyBorder="1" applyAlignment="1">
      <alignment horizontal="left" vertical="center"/>
    </xf>
    <xf numFmtId="0" fontId="36" fillId="10" borderId="2" xfId="0" applyFont="1" applyFill="1" applyBorder="1" applyAlignment="1">
      <alignment horizontal="left" vertical="center"/>
    </xf>
    <xf numFmtId="0" fontId="42" fillId="8" borderId="2" xfId="0" applyFont="1" applyFill="1" applyBorder="1" applyAlignment="1">
      <alignment vertical="center"/>
    </xf>
    <xf numFmtId="0" fontId="42" fillId="2" borderId="2" xfId="0" applyFont="1" applyFill="1" applyBorder="1" applyAlignment="1">
      <alignment horizontal="right" vertical="center"/>
    </xf>
    <xf numFmtId="0" fontId="36" fillId="2" borderId="2" xfId="0" applyFont="1" applyFill="1" applyBorder="1" applyAlignment="1">
      <alignment horizontal="right" vertical="center"/>
    </xf>
    <xf numFmtId="0" fontId="34" fillId="2" borderId="2" xfId="0" applyFont="1" applyFill="1" applyBorder="1" applyAlignment="1">
      <alignment horizontal="right" vertical="center"/>
    </xf>
    <xf numFmtId="0" fontId="36" fillId="2" borderId="2" xfId="0" applyFont="1" applyFill="1" applyBorder="1" applyAlignment="1">
      <alignment vertical="center"/>
    </xf>
    <xf numFmtId="0" fontId="42" fillId="6" borderId="2" xfId="0" applyFont="1" applyFill="1" applyBorder="1" applyAlignment="1">
      <alignment vertical="center"/>
    </xf>
    <xf numFmtId="0" fontId="42" fillId="4" borderId="2" xfId="0" applyFont="1" applyFill="1" applyBorder="1" applyAlignment="1">
      <alignment vertical="center"/>
    </xf>
    <xf numFmtId="0" fontId="45" fillId="13" borderId="2" xfId="0" applyFont="1" applyFill="1" applyBorder="1" applyAlignment="1">
      <alignment vertical="center"/>
    </xf>
    <xf numFmtId="0" fontId="20" fillId="5" borderId="2" xfId="0" applyFont="1" applyFill="1" applyBorder="1" applyAlignment="1">
      <alignment horizontal="left" vertical="center"/>
    </xf>
    <xf numFmtId="0" fontId="36" fillId="5" borderId="2" xfId="0" applyFont="1" applyFill="1" applyBorder="1" applyAlignment="1">
      <alignment horizontal="left" vertical="center"/>
    </xf>
    <xf numFmtId="0" fontId="34" fillId="2" borderId="2" xfId="0" applyFont="1" applyFill="1" applyBorder="1" applyAlignment="1">
      <alignment horizontal="left" vertical="center"/>
    </xf>
    <xf numFmtId="0" fontId="42" fillId="6" borderId="2" xfId="0" applyFont="1" applyFill="1" applyBorder="1" applyAlignment="1">
      <alignment horizontal="left" vertical="center"/>
    </xf>
    <xf numFmtId="0" fontId="34" fillId="12" borderId="2" xfId="0" applyFont="1" applyFill="1" applyBorder="1" applyAlignment="1">
      <alignment horizontal="left" vertical="center"/>
    </xf>
    <xf numFmtId="0" fontId="36" fillId="12" borderId="2" xfId="0" applyFont="1" applyFill="1" applyBorder="1" applyAlignment="1">
      <alignment horizontal="left" vertical="center"/>
    </xf>
    <xf numFmtId="0" fontId="34" fillId="3" borderId="2" xfId="0" applyFont="1" applyFill="1" applyBorder="1" applyAlignment="1">
      <alignment horizontal="left" vertical="center"/>
    </xf>
    <xf numFmtId="0" fontId="36" fillId="3" borderId="2" xfId="0" applyFont="1" applyFill="1" applyBorder="1" applyAlignment="1">
      <alignment horizontal="left" vertical="center"/>
    </xf>
    <xf numFmtId="0" fontId="34" fillId="0" borderId="2" xfId="0" applyFont="1" applyBorder="1" applyAlignment="1">
      <alignment horizontal="left" vertical="center"/>
    </xf>
    <xf numFmtId="0" fontId="36" fillId="0" borderId="2" xfId="0" applyFont="1" applyBorder="1" applyAlignment="1">
      <alignment horizontal="left" vertical="center"/>
    </xf>
    <xf numFmtId="0" fontId="25" fillId="2" borderId="2" xfId="0" applyFont="1" applyFill="1" applyBorder="1" applyAlignment="1">
      <alignment vertical="center"/>
    </xf>
    <xf numFmtId="0" fontId="20" fillId="3" borderId="3" xfId="0" applyFont="1" applyFill="1" applyBorder="1" applyAlignment="1">
      <alignment horizontal="left" vertical="center"/>
    </xf>
    <xf numFmtId="0" fontId="36" fillId="3" borderId="4" xfId="0" applyFont="1" applyFill="1" applyBorder="1" applyAlignment="1">
      <alignment horizontal="left" vertical="center"/>
    </xf>
  </cellXfs>
  <cellStyles count="41">
    <cellStyle name="Comma" xfId="1" builtinId="3"/>
    <cellStyle name="Comma 2" xfId="8" xr:uid="{00000000-0005-0000-0000-000001000000}"/>
    <cellStyle name="Comma 2 2" xfId="30" xr:uid="{E8326635-A25D-4478-8CD0-A0DF69D18B3B}"/>
    <cellStyle name="Comma 3" xfId="15" xr:uid="{00000000-0005-0000-0000-000002000000}"/>
    <cellStyle name="Comma 4" xfId="21" xr:uid="{00000000-0005-0000-0000-000003000000}"/>
    <cellStyle name="Comma 5" xfId="24" xr:uid="{00000000-0005-0000-0000-000004000000}"/>
    <cellStyle name="Comma 6" xfId="28" xr:uid="{00000000-0005-0000-0000-000047000000}"/>
    <cellStyle name="Comma 6 2" xfId="36" xr:uid="{783D89EA-AEEC-4195-8801-87A87F53E234}"/>
    <cellStyle name="Currency" xfId="2" builtinId="4"/>
    <cellStyle name="Currency 2" xfId="11" xr:uid="{00000000-0005-0000-0000-000006000000}"/>
    <cellStyle name="Currency 2 2" xfId="32" xr:uid="{5CF07B59-E86D-4E55-A6B0-5BC3283DE775}"/>
    <cellStyle name="Currency 2 2 2" xfId="34" xr:uid="{0EC01C1B-935D-4AB0-8AB1-2390C63AD8E5}"/>
    <cellStyle name="Currency 3" xfId="12" xr:uid="{00000000-0005-0000-0000-000007000000}"/>
    <cellStyle name="Currency 4" xfId="26" xr:uid="{00000000-0005-0000-0000-000008000000}"/>
    <cellStyle name="Currency 5" xfId="7" xr:uid="{00000000-0005-0000-0000-000009000000}"/>
    <cellStyle name="Heading 3 2" xfId="14" xr:uid="{00000000-0005-0000-0000-00000A000000}"/>
    <cellStyle name="Hyperlink" xfId="17" builtinId="8"/>
    <cellStyle name="Hyperlink 2" xfId="40" xr:uid="{73A5B8B3-4013-4FB9-BA3C-DF135E527848}"/>
    <cellStyle name="Normal" xfId="0" builtinId="0"/>
    <cellStyle name="Normal 2" xfId="9" xr:uid="{00000000-0005-0000-0000-00000D000000}"/>
    <cellStyle name="Normal 2 2" xfId="19" xr:uid="{00000000-0005-0000-0000-00000E000000}"/>
    <cellStyle name="Normal 2 2 2" xfId="33" xr:uid="{875D9656-24D7-4048-A5A4-DE0823FB3E90}"/>
    <cellStyle name="Normal 2 3" xfId="29" xr:uid="{281BB335-FC2E-4A3C-BAE3-4C753E1CA907}"/>
    <cellStyle name="Normal 2 4" xfId="39" xr:uid="{C05E50F4-A430-45CC-B282-20B205F0669B}"/>
    <cellStyle name="Normal 3" xfId="13" xr:uid="{00000000-0005-0000-0000-00000F000000}"/>
    <cellStyle name="Normal 3 4" xfId="37" xr:uid="{81ED5918-4B57-4004-892A-5C36EB2E1D11}"/>
    <cellStyle name="Normal 4" xfId="4" xr:uid="{00000000-0005-0000-0000-000010000000}"/>
    <cellStyle name="Normal 5" xfId="5" xr:uid="{00000000-0005-0000-0000-000011000000}"/>
    <cellStyle name="Normal 6" xfId="18" xr:uid="{00000000-0005-0000-0000-000012000000}"/>
    <cellStyle name="Normal 7" xfId="23" xr:uid="{00000000-0005-0000-0000-000013000000}"/>
    <cellStyle name="Normal 8" xfId="27" xr:uid="{00000000-0005-0000-0000-000048000000}"/>
    <cellStyle name="Normal 8 2" xfId="35" xr:uid="{A91342A3-9593-4199-9EE9-AC2A24BD1C3E}"/>
    <cellStyle name="Normal 9" xfId="38" xr:uid="{0921491B-CA5A-4926-A295-6AFDDE109AF6}"/>
    <cellStyle name="Percent" xfId="3" builtinId="5"/>
    <cellStyle name="Percent 2" xfId="6" xr:uid="{00000000-0005-0000-0000-000015000000}"/>
    <cellStyle name="Percent 2 2" xfId="31" xr:uid="{8A839CBB-CB37-443F-9A68-5248EF7C374E}"/>
    <cellStyle name="Percent 3" xfId="10" xr:uid="{00000000-0005-0000-0000-000016000000}"/>
    <cellStyle name="Percent 4" xfId="16" xr:uid="{00000000-0005-0000-0000-000017000000}"/>
    <cellStyle name="Percent 5" xfId="22" xr:uid="{00000000-0005-0000-0000-000018000000}"/>
    <cellStyle name="Percent 6" xfId="25" xr:uid="{00000000-0005-0000-0000-000019000000}"/>
    <cellStyle name="常规_Charger Configuration" xfId="20" xr:uid="{00000000-0005-0000-0000-00001A000000}"/>
  </cellStyles>
  <dxfs count="0"/>
  <tableStyles count="0" defaultTableStyle="TableStyleMedium9" defaultPivotStyle="PivotStyleLight16"/>
  <colors>
    <mruColors>
      <color rgb="FF30F45F"/>
      <color rgb="FFFFFF99"/>
      <color rgb="FFFFFFCC"/>
      <color rgb="FFFFFF66"/>
      <color rgb="FFECCF56"/>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Cumulative Discounted Cash Flow of BEB Project, by Year</a:t>
            </a:r>
          </a:p>
        </c:rich>
      </c:tx>
      <c:overlay val="0"/>
    </c:title>
    <c:autoTitleDeleted val="0"/>
    <c:plotArea>
      <c:layout/>
      <c:lineChart>
        <c:grouping val="standard"/>
        <c:varyColors val="0"/>
        <c:ser>
          <c:idx val="1"/>
          <c:order val="0"/>
          <c:marker>
            <c:symbol val="square"/>
            <c:size val="6"/>
          </c:marker>
          <c:cat>
            <c:numRef>
              <c:f>Model!$D$39:$X$39</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Model!$D$40:$X$40</c:f>
              <c:numCache>
                <c:formatCode>"$"#,##0_);\("$"#,##0\)</c:formatCode>
                <c:ptCount val="21"/>
                <c:pt idx="0">
                  <c:v>-322467.18075089197</c:v>
                </c:pt>
                <c:pt idx="1">
                  <c:v>-177079.09329667789</c:v>
                </c:pt>
                <c:pt idx="2">
                  <c:v>-92348.225191265068</c:v>
                </c:pt>
                <c:pt idx="3">
                  <c:v>-9930.6838512245158</c:v>
                </c:pt>
                <c:pt idx="4">
                  <c:v>70236.025201418568</c:v>
                </c:pt>
                <c:pt idx="5">
                  <c:v>148212.73380599864</c:v>
                </c:pt>
                <c:pt idx="6">
                  <c:v>224058.65439912674</c:v>
                </c:pt>
                <c:pt idx="7">
                  <c:v>297831.42216559785</c:v>
                </c:pt>
                <c:pt idx="8">
                  <c:v>369587.13612993603</c:v>
                </c:pt>
                <c:pt idx="9">
                  <c:v>439380.39921368414</c:v>
                </c:pt>
                <c:pt idx="10">
                  <c:v>507264.35728301288</c:v>
                </c:pt>
                <c:pt idx="11">
                  <c:v>573290.73721070052</c:v>
                </c:pt>
                <c:pt idx="12">
                  <c:v>747290.38812434953</c:v>
                </c:pt>
                <c:pt idx="13">
                  <c:v>747290.38812434953</c:v>
                </c:pt>
                <c:pt idx="14">
                  <c:v>747290.38812434953</c:v>
                </c:pt>
                <c:pt idx="15">
                  <c:v>747290.38812434953</c:v>
                </c:pt>
                <c:pt idx="16">
                  <c:v>747290.38812434953</c:v>
                </c:pt>
                <c:pt idx="17">
                  <c:v>747290.38812434953</c:v>
                </c:pt>
                <c:pt idx="18">
                  <c:v>747290.38812434953</c:v>
                </c:pt>
                <c:pt idx="19">
                  <c:v>747290.38812434953</c:v>
                </c:pt>
                <c:pt idx="20">
                  <c:v>747290.38812434953</c:v>
                </c:pt>
              </c:numCache>
            </c:numRef>
          </c:val>
          <c:smooth val="0"/>
          <c:extLst>
            <c:ext xmlns:c16="http://schemas.microsoft.com/office/drawing/2014/chart" uri="{C3380CC4-5D6E-409C-BE32-E72D297353CC}">
              <c16:uniqueId val="{00000000-3E0B-4D60-9D40-52A1379B1B0C}"/>
            </c:ext>
          </c:extLst>
        </c:ser>
        <c:dLbls>
          <c:showLegendKey val="0"/>
          <c:showVal val="0"/>
          <c:showCatName val="0"/>
          <c:showSerName val="0"/>
          <c:showPercent val="0"/>
          <c:showBubbleSize val="0"/>
        </c:dLbls>
        <c:marker val="1"/>
        <c:smooth val="0"/>
        <c:axId val="80970880"/>
        <c:axId val="80973184"/>
      </c:lineChart>
      <c:catAx>
        <c:axId val="80970880"/>
        <c:scaling>
          <c:orientation val="minMax"/>
        </c:scaling>
        <c:delete val="0"/>
        <c:axPos val="b"/>
        <c:title>
          <c:tx>
            <c:rich>
              <a:bodyPr/>
              <a:lstStyle/>
              <a:p>
                <a:pPr>
                  <a:defRPr sz="1200"/>
                </a:pPr>
                <a:r>
                  <a:rPr lang="en-US" sz="1200"/>
                  <a:t>Year of Project</a:t>
                </a:r>
              </a:p>
            </c:rich>
          </c:tx>
          <c:overlay val="0"/>
        </c:title>
        <c:numFmt formatCode="#,##0" sourceLinked="0"/>
        <c:majorTickMark val="out"/>
        <c:minorTickMark val="none"/>
        <c:tickLblPos val="nextTo"/>
        <c:txPr>
          <a:bodyPr/>
          <a:lstStyle/>
          <a:p>
            <a:pPr>
              <a:defRPr sz="1200" b="1"/>
            </a:pPr>
            <a:endParaRPr lang="en-US"/>
          </a:p>
        </c:txPr>
        <c:crossAx val="80973184"/>
        <c:crosses val="autoZero"/>
        <c:auto val="1"/>
        <c:lblAlgn val="ctr"/>
        <c:lblOffset val="100"/>
        <c:tickLblSkip val="1"/>
        <c:noMultiLvlLbl val="0"/>
      </c:catAx>
      <c:valAx>
        <c:axId val="80973184"/>
        <c:scaling>
          <c:orientation val="minMax"/>
        </c:scaling>
        <c:delete val="0"/>
        <c:axPos val="l"/>
        <c:majorGridlines/>
        <c:title>
          <c:tx>
            <c:rich>
              <a:bodyPr rot="-5400000" vert="horz"/>
              <a:lstStyle/>
              <a:p>
                <a:pPr>
                  <a:defRPr sz="1200"/>
                </a:pPr>
                <a:r>
                  <a:rPr lang="en-US" sz="1200"/>
                  <a:t>Cumulative Cash Flow</a:t>
                </a:r>
                <a:r>
                  <a:rPr lang="en-US" sz="1200" baseline="0"/>
                  <a:t> (Thousand $)</a:t>
                </a:r>
                <a:endParaRPr lang="en-US" sz="1200"/>
              </a:p>
            </c:rich>
          </c:tx>
          <c:layout>
            <c:manualLayout>
              <c:xMode val="edge"/>
              <c:yMode val="edge"/>
              <c:x val="1.1066356750586539E-2"/>
              <c:y val="0.31371851524174788"/>
            </c:manualLayout>
          </c:layout>
          <c:overlay val="0"/>
        </c:title>
        <c:numFmt formatCode="&quot;$&quot;#,##0_);\(&quot;$&quot;#,##0\)" sourceLinked="1"/>
        <c:majorTickMark val="out"/>
        <c:minorTickMark val="none"/>
        <c:tickLblPos val="nextTo"/>
        <c:txPr>
          <a:bodyPr/>
          <a:lstStyle/>
          <a:p>
            <a:pPr>
              <a:defRPr sz="1100" b="1"/>
            </a:pPr>
            <a:endParaRPr lang="en-US"/>
          </a:p>
        </c:txPr>
        <c:crossAx val="80970880"/>
        <c:crosses val="autoZero"/>
        <c:crossBetween val="between"/>
        <c:dispUnits>
          <c:builtInUnit val="thousands"/>
        </c:dispUnits>
      </c:valAx>
    </c:plotArea>
    <c:plotVisOnly val="1"/>
    <c:dispBlanksAs val="gap"/>
    <c:showDLblsOverMax val="0"/>
  </c:chart>
  <c:printSettings>
    <c:headerFooter/>
    <c:pageMargins b="0.75000000000001121" l="0.70000000000000062" r="0.70000000000000062" t="0.75000000000001121" header="0.30000000000000032" footer="0.30000000000000032"/>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133350</xdr:colOff>
      <xdr:row>2</xdr:row>
      <xdr:rowOff>19051</xdr:rowOff>
    </xdr:from>
    <xdr:to>
      <xdr:col>7</xdr:col>
      <xdr:colOff>590549</xdr:colOff>
      <xdr:row>5</xdr:row>
      <xdr:rowOff>161925</xdr:rowOff>
    </xdr:to>
    <xdr:sp macro="" textlink="">
      <xdr:nvSpPr>
        <xdr:cNvPr id="3" name="TextBox 2">
          <a:extLst>
            <a:ext uri="{FF2B5EF4-FFF2-40B4-BE49-F238E27FC236}">
              <a16:creationId xmlns:a16="http://schemas.microsoft.com/office/drawing/2014/main" id="{6303A4A0-6547-4581-9345-6C199E99959E}"/>
            </a:ext>
          </a:extLst>
        </xdr:cNvPr>
        <xdr:cNvSpPr txBox="1"/>
      </xdr:nvSpPr>
      <xdr:spPr>
        <a:xfrm>
          <a:off x="6086475" y="361951"/>
          <a:ext cx="3200399" cy="771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Change "Input</a:t>
          </a:r>
          <a:r>
            <a:rPr lang="en-US" sz="1400" baseline="0"/>
            <a:t> </a:t>
          </a:r>
          <a:r>
            <a:rPr lang="en-US" sz="1400"/>
            <a:t>Value"</a:t>
          </a:r>
          <a:r>
            <a:rPr lang="en-US" sz="1400" baseline="0"/>
            <a:t> inputs in column E and "OUTPUTS" Section will update with results.</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49</xdr:row>
      <xdr:rowOff>47624</xdr:rowOff>
    </xdr:from>
    <xdr:to>
      <xdr:col>14</xdr:col>
      <xdr:colOff>11206</xdr:colOff>
      <xdr:row>79</xdr:row>
      <xdr:rowOff>11205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johnson/Documents/Electric%20Vehicle/eBus%20Business%20Case/AEEE/Clean%20Inpu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3">
          <cell r="D3" t="str">
            <v>Baseline Scenario 
(Depot/Route Charge)</v>
          </cell>
        </row>
        <row r="10">
          <cell r="D10">
            <v>22.57</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rel.gov/docs/fy20osti/74832.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eia.gov/dnav/pet/pet_pri_gnd_dcus_nus_a.htm" TargetMode="External"/><Relationship Id="rId7" Type="http://schemas.openxmlformats.org/officeDocument/2006/relationships/drawing" Target="../drawings/drawing1.xml"/><Relationship Id="rId2" Type="http://schemas.openxmlformats.org/officeDocument/2006/relationships/hyperlink" Target="https://www.bls.gov/oes/2017/may/oes533021.htm" TargetMode="External"/><Relationship Id="rId1" Type="http://schemas.openxmlformats.org/officeDocument/2006/relationships/hyperlink" Target="https://www.nrel.gov/docs/fy17osti/67698.pdf%20(pg%206).%20Assume%20zero%20for%20depot%20charger" TargetMode="External"/><Relationship Id="rId6" Type="http://schemas.openxmlformats.org/officeDocument/2006/relationships/printerSettings" Target="../printerSettings/printerSettings2.bin"/><Relationship Id="rId5" Type="http://schemas.openxmlformats.org/officeDocument/2006/relationships/hyperlink" Target="https://www.bozeman.net/home/showdocument?id=5418" TargetMode="External"/><Relationship Id="rId4" Type="http://schemas.openxmlformats.org/officeDocument/2006/relationships/hyperlink" Target="https://www.proterra.com/wp-content/uploads/2018/05/PROTERRA-40-FT-SPECS_4.30.18-1.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8D7D7-A6EE-44DB-AD54-9F309CCFB5D4}">
  <dimension ref="B2:C26"/>
  <sheetViews>
    <sheetView showGridLines="0" tabSelected="1" showWhiteSpace="0" zoomScale="115" zoomScaleNormal="115" workbookViewId="0"/>
  </sheetViews>
  <sheetFormatPr baseColWidth="10" defaultColWidth="9.1640625" defaultRowHeight="13"/>
  <cols>
    <col min="1" max="1" width="2.5" style="293" customWidth="1"/>
    <col min="2" max="2" width="113.5" style="293" customWidth="1"/>
    <col min="3" max="16384" width="9.1640625" style="293"/>
  </cols>
  <sheetData>
    <row r="2" spans="2:3" ht="17">
      <c r="B2" s="302" t="s">
        <v>287</v>
      </c>
    </row>
    <row r="3" spans="2:3" ht="28">
      <c r="B3" s="303" t="s">
        <v>292</v>
      </c>
    </row>
    <row r="4" spans="2:3" ht="14">
      <c r="B4" s="294" t="s">
        <v>293</v>
      </c>
    </row>
    <row r="5" spans="2:3">
      <c r="B5" s="295" t="s">
        <v>275</v>
      </c>
      <c r="C5" s="295"/>
    </row>
    <row r="6" spans="2:3" ht="14">
      <c r="B6" s="294" t="s">
        <v>274</v>
      </c>
    </row>
    <row r="7" spans="2:3">
      <c r="B7" s="294"/>
    </row>
    <row r="8" spans="2:3" ht="14">
      <c r="B8" s="292" t="s">
        <v>279</v>
      </c>
    </row>
    <row r="9" spans="2:3" ht="14">
      <c r="B9" s="294" t="s">
        <v>288</v>
      </c>
    </row>
    <row r="10" spans="2:3" ht="12.75" customHeight="1">
      <c r="B10" s="296" t="s">
        <v>276</v>
      </c>
    </row>
    <row r="11" spans="2:3" ht="14">
      <c r="B11" s="296" t="s">
        <v>277</v>
      </c>
    </row>
    <row r="12" spans="2:3">
      <c r="B12" s="296"/>
    </row>
    <row r="13" spans="2:3" ht="14">
      <c r="B13" s="297" t="s">
        <v>278</v>
      </c>
    </row>
    <row r="14" spans="2:3" ht="14">
      <c r="B14" s="294" t="s">
        <v>280</v>
      </c>
    </row>
    <row r="15" spans="2:3" ht="28">
      <c r="B15" s="294" t="s">
        <v>281</v>
      </c>
    </row>
    <row r="16" spans="2:3" ht="14">
      <c r="B16" s="294" t="s">
        <v>282</v>
      </c>
    </row>
    <row r="17" spans="2:2" ht="28">
      <c r="B17" s="294" t="s">
        <v>283</v>
      </c>
    </row>
    <row r="18" spans="2:2" ht="52.5" customHeight="1">
      <c r="B18" s="294" t="s">
        <v>284</v>
      </c>
    </row>
    <row r="19" spans="2:2" ht="28">
      <c r="B19" s="294" t="s">
        <v>294</v>
      </c>
    </row>
    <row r="20" spans="2:2" ht="14">
      <c r="B20" s="294" t="s">
        <v>295</v>
      </c>
    </row>
    <row r="22" spans="2:2" ht="14">
      <c r="B22" s="305" t="s">
        <v>289</v>
      </c>
    </row>
    <row r="23" spans="2:2" ht="42">
      <c r="B23" s="304" t="s">
        <v>291</v>
      </c>
    </row>
    <row r="25" spans="2:2">
      <c r="B25" s="306" t="s">
        <v>296</v>
      </c>
    </row>
    <row r="26" spans="2:2">
      <c r="B26" s="307" t="s">
        <v>290</v>
      </c>
    </row>
  </sheetData>
  <hyperlinks>
    <hyperlink ref="B5" r:id="rId1" xr:uid="{86EF4650-1DEF-41C9-BB65-2B0BE77A7EE1}"/>
  </hyperlinks>
  <pageMargins left="0.7" right="0.7" top="0.75" bottom="0.75" header="0.3" footer="0.3"/>
  <pageSetup orientation="portrait" horizontalDpi="200" verticalDpi="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A1:VJ78"/>
  <sheetViews>
    <sheetView zoomScaleNormal="100" workbookViewId="0">
      <pane ySplit="7" topLeftCell="A8" activePane="bottomLeft" state="frozen"/>
      <selection pane="bottomLeft"/>
    </sheetView>
  </sheetViews>
  <sheetFormatPr baseColWidth="10" defaultColWidth="9.1640625" defaultRowHeight="16.5" customHeight="1"/>
  <cols>
    <col min="1" max="1" width="4.6640625" style="34" customWidth="1"/>
    <col min="2" max="2" width="4" style="34" customWidth="1"/>
    <col min="3" max="3" width="47.6640625" style="34" customWidth="1"/>
    <col min="4" max="4" width="19.83203125" style="34" customWidth="1"/>
    <col min="5" max="5" width="13" style="34" customWidth="1"/>
    <col min="6" max="6" width="27.33203125" style="34" bestFit="1" customWidth="1"/>
    <col min="7" max="8" width="13.83203125" style="73" customWidth="1"/>
    <col min="9" max="9" width="63.5" style="34" customWidth="1"/>
    <col min="10" max="10" width="23.5" style="34" customWidth="1"/>
    <col min="11" max="11" width="11.83203125" style="34" bestFit="1" customWidth="1"/>
    <col min="12" max="12" width="14.33203125" style="34" bestFit="1" customWidth="1"/>
    <col min="13" max="13" width="11.83203125" style="34" bestFit="1" customWidth="1"/>
    <col min="14" max="16384" width="9.1640625" style="34"/>
  </cols>
  <sheetData>
    <row r="1" spans="1:582" ht="10.5" customHeight="1" thickBot="1">
      <c r="C1" s="38"/>
      <c r="I1" s="39" t="s">
        <v>3</v>
      </c>
    </row>
    <row r="2" spans="1:582" ht="16.5" customHeight="1">
      <c r="C2" s="314" t="s">
        <v>89</v>
      </c>
      <c r="D2" s="315"/>
      <c r="E2" s="316"/>
      <c r="F2" s="65"/>
    </row>
    <row r="3" spans="1:582" ht="16.5" customHeight="1">
      <c r="C3" s="40" t="s">
        <v>26</v>
      </c>
      <c r="D3" s="298">
        <f>NPV</f>
        <v>747290.38812434953</v>
      </c>
      <c r="E3" s="41" t="s">
        <v>87</v>
      </c>
      <c r="F3" s="62"/>
      <c r="I3" s="69"/>
      <c r="J3" s="115"/>
      <c r="L3" s="69"/>
      <c r="M3" s="69"/>
    </row>
    <row r="4" spans="1:582" ht="16.5" customHeight="1">
      <c r="C4" s="42" t="s">
        <v>90</v>
      </c>
      <c r="D4" s="299">
        <f>Payback_Discounted</f>
        <v>3.6238754087398464</v>
      </c>
      <c r="E4" s="41" t="s">
        <v>88</v>
      </c>
      <c r="G4" s="74"/>
      <c r="H4" s="74"/>
      <c r="I4" s="96"/>
      <c r="J4" s="115"/>
      <c r="L4" s="69"/>
      <c r="M4" s="69"/>
    </row>
    <row r="5" spans="1:582" ht="16.5" customHeight="1">
      <c r="C5" s="40" t="s">
        <v>83</v>
      </c>
      <c r="D5" s="299">
        <f>Payback_Simple</f>
        <v>3.3828158237647257</v>
      </c>
      <c r="E5" s="41" t="s">
        <v>88</v>
      </c>
      <c r="G5" s="74"/>
      <c r="I5" s="64"/>
      <c r="J5" s="116"/>
      <c r="L5" s="69"/>
      <c r="M5" s="69"/>
    </row>
    <row r="6" spans="1:582" ht="16.5" customHeight="1" thickBot="1">
      <c r="C6" s="87" t="s">
        <v>188</v>
      </c>
      <c r="D6" s="300">
        <f>Bus_Life*((Annual_diesel_used*Kg_GHG_per_gal_Diesel)-(Annual_kWh_Use*kg_GHG_per_kWh))</f>
        <v>3164882.1138334135</v>
      </c>
      <c r="E6" s="88" t="s">
        <v>187</v>
      </c>
      <c r="I6" s="64"/>
      <c r="J6" s="63"/>
      <c r="L6" s="64"/>
      <c r="M6" s="69"/>
    </row>
    <row r="7" spans="1:582" ht="16.5" customHeight="1" thickBot="1">
      <c r="C7" s="35"/>
      <c r="D7" s="36"/>
      <c r="E7" s="37"/>
    </row>
    <row r="8" spans="1:582" ht="16.5" customHeight="1" thickBot="1">
      <c r="B8" s="324" t="s">
        <v>91</v>
      </c>
      <c r="C8" s="325"/>
      <c r="D8" s="325"/>
      <c r="E8" s="325"/>
      <c r="F8" s="325"/>
      <c r="G8" s="325"/>
      <c r="H8" s="325"/>
      <c r="I8" s="326"/>
    </row>
    <row r="9" spans="1:582" s="43" customFormat="1" ht="66" customHeight="1" thickBot="1">
      <c r="B9" s="168"/>
      <c r="C9" s="169" t="s">
        <v>81</v>
      </c>
      <c r="D9" s="291" t="s">
        <v>4</v>
      </c>
      <c r="E9" s="290" t="s">
        <v>273</v>
      </c>
      <c r="F9" s="231" t="s">
        <v>5</v>
      </c>
      <c r="G9" s="170" t="s">
        <v>236</v>
      </c>
      <c r="H9" s="170" t="s">
        <v>258</v>
      </c>
      <c r="I9" s="171" t="s">
        <v>286</v>
      </c>
      <c r="M9" s="71"/>
    </row>
    <row r="10" spans="1:582" ht="32">
      <c r="B10" s="317" t="s">
        <v>153</v>
      </c>
      <c r="C10" s="161" t="s">
        <v>95</v>
      </c>
      <c r="D10" s="228" t="s">
        <v>25</v>
      </c>
      <c r="E10" s="235">
        <v>3.5999999999999997E-2</v>
      </c>
      <c r="F10" s="232" t="s">
        <v>23</v>
      </c>
      <c r="G10" s="197">
        <v>3.5999999999999997E-2</v>
      </c>
      <c r="H10" s="122"/>
      <c r="I10" s="174" t="s">
        <v>162</v>
      </c>
      <c r="J10" s="72"/>
    </row>
    <row r="11" spans="1:582" ht="16">
      <c r="B11" s="318"/>
      <c r="C11" s="130" t="s">
        <v>161</v>
      </c>
      <c r="D11" s="229" t="s">
        <v>160</v>
      </c>
      <c r="E11" s="236">
        <v>32814</v>
      </c>
      <c r="F11" s="233" t="s">
        <v>159</v>
      </c>
      <c r="G11" s="193">
        <v>32814</v>
      </c>
      <c r="H11" s="123"/>
      <c r="I11" s="175" t="s">
        <v>223</v>
      </c>
      <c r="J11" s="73"/>
    </row>
    <row r="12" spans="1:582" ht="15">
      <c r="B12" s="319"/>
      <c r="C12" s="129" t="s">
        <v>184</v>
      </c>
      <c r="D12" s="229" t="s">
        <v>6</v>
      </c>
      <c r="E12" s="237">
        <v>4</v>
      </c>
      <c r="F12" s="233" t="s">
        <v>20</v>
      </c>
      <c r="G12" s="195">
        <v>4</v>
      </c>
      <c r="H12" s="125"/>
      <c r="I12" s="173"/>
      <c r="J12" s="103"/>
    </row>
    <row r="13" spans="1:582" ht="32">
      <c r="B13" s="319"/>
      <c r="C13" s="129" t="s">
        <v>266</v>
      </c>
      <c r="D13" s="229" t="s">
        <v>216</v>
      </c>
      <c r="E13" s="238">
        <v>1500000</v>
      </c>
      <c r="F13" s="233" t="s">
        <v>21</v>
      </c>
      <c r="G13" s="195">
        <v>1500000</v>
      </c>
      <c r="H13" s="125"/>
      <c r="I13" s="173" t="s">
        <v>220</v>
      </c>
      <c r="J13" s="97"/>
    </row>
    <row r="14" spans="1:582" ht="33" thickBot="1">
      <c r="B14" s="320"/>
      <c r="C14" s="166" t="s">
        <v>143</v>
      </c>
      <c r="D14" s="230" t="s">
        <v>47</v>
      </c>
      <c r="E14" s="239">
        <v>12</v>
      </c>
      <c r="F14" s="234" t="s">
        <v>57</v>
      </c>
      <c r="G14" s="196">
        <v>12</v>
      </c>
      <c r="H14" s="167"/>
      <c r="I14" s="176" t="s">
        <v>228</v>
      </c>
      <c r="J14" s="73"/>
    </row>
    <row r="15" spans="1:582" s="101" customFormat="1" ht="16" thickBot="1">
      <c r="A15" s="34"/>
      <c r="B15" s="164"/>
      <c r="C15" s="134"/>
      <c r="D15" s="127"/>
      <c r="E15" s="165"/>
      <c r="F15" s="128"/>
      <c r="G15" s="165"/>
      <c r="H15" s="165"/>
      <c r="I15" s="177"/>
      <c r="J15" s="73"/>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c r="JG15" s="34"/>
      <c r="JH15" s="34"/>
      <c r="JI15" s="34"/>
      <c r="JJ15" s="34"/>
      <c r="JK15" s="34"/>
      <c r="JL15" s="34"/>
      <c r="JM15" s="34"/>
      <c r="JN15" s="34"/>
      <c r="JO15" s="34"/>
      <c r="JP15" s="34"/>
      <c r="JQ15" s="34"/>
      <c r="JR15" s="34"/>
      <c r="JS15" s="34"/>
      <c r="JT15" s="34"/>
      <c r="JU15" s="34"/>
      <c r="JV15" s="34"/>
      <c r="JW15" s="34"/>
      <c r="JX15" s="34"/>
      <c r="JY15" s="34"/>
      <c r="JZ15" s="34"/>
      <c r="KA15" s="34"/>
      <c r="KB15" s="34"/>
      <c r="KC15" s="34"/>
      <c r="KD15" s="34"/>
      <c r="KE15" s="34"/>
      <c r="KF15" s="34"/>
      <c r="KG15" s="34"/>
      <c r="KH15" s="34"/>
      <c r="KI15" s="34"/>
      <c r="KJ15" s="34"/>
      <c r="KK15" s="34"/>
      <c r="KL15" s="34"/>
      <c r="KM15" s="34"/>
      <c r="KN15" s="34"/>
      <c r="KO15" s="34"/>
      <c r="KP15" s="34"/>
      <c r="KQ15" s="34"/>
      <c r="KR15" s="34"/>
      <c r="KS15" s="34"/>
      <c r="KT15" s="34"/>
      <c r="KU15" s="34"/>
      <c r="KV15" s="34"/>
      <c r="KW15" s="34"/>
      <c r="KX15" s="34"/>
      <c r="KY15" s="34"/>
      <c r="KZ15" s="34"/>
      <c r="LA15" s="34"/>
      <c r="LB15" s="34"/>
      <c r="LC15" s="34"/>
      <c r="LD15" s="34"/>
      <c r="LE15" s="34"/>
      <c r="LF15" s="34"/>
      <c r="LG15" s="34"/>
      <c r="LH15" s="34"/>
      <c r="LI15" s="34"/>
      <c r="LJ15" s="34"/>
      <c r="LK15" s="34"/>
      <c r="LL15" s="34"/>
      <c r="LM15" s="34"/>
      <c r="LN15" s="34"/>
      <c r="LO15" s="34"/>
      <c r="LP15" s="34"/>
      <c r="LQ15" s="34"/>
      <c r="LR15" s="34"/>
      <c r="LS15" s="34"/>
      <c r="LT15" s="34"/>
      <c r="LU15" s="34"/>
      <c r="LV15" s="34"/>
      <c r="LW15" s="34"/>
      <c r="LX15" s="34"/>
      <c r="LY15" s="34"/>
      <c r="LZ15" s="34"/>
      <c r="MA15" s="34"/>
      <c r="MB15" s="34"/>
      <c r="MC15" s="34"/>
      <c r="MD15" s="34"/>
      <c r="ME15" s="34"/>
      <c r="MF15" s="34"/>
      <c r="MG15" s="34"/>
      <c r="MH15" s="34"/>
      <c r="MI15" s="34"/>
      <c r="MJ15" s="34"/>
      <c r="MK15" s="34"/>
      <c r="ML15" s="34"/>
      <c r="MM15" s="34"/>
      <c r="MN15" s="34"/>
      <c r="MO15" s="34"/>
      <c r="MP15" s="34"/>
      <c r="MQ15" s="34"/>
      <c r="MR15" s="34"/>
      <c r="MS15" s="34"/>
      <c r="MT15" s="34"/>
      <c r="MU15" s="34"/>
      <c r="MV15" s="34"/>
      <c r="MW15" s="34"/>
      <c r="MX15" s="34"/>
      <c r="MY15" s="34"/>
      <c r="MZ15" s="34"/>
      <c r="NA15" s="34"/>
      <c r="NB15" s="34"/>
      <c r="NC15" s="34"/>
      <c r="ND15" s="34"/>
      <c r="NE15" s="34"/>
      <c r="NF15" s="34"/>
      <c r="NG15" s="34"/>
      <c r="NH15" s="34"/>
      <c r="NI15" s="34"/>
      <c r="NJ15" s="34"/>
      <c r="NK15" s="34"/>
      <c r="NL15" s="34"/>
      <c r="NM15" s="34"/>
      <c r="NN15" s="34"/>
      <c r="NO15" s="34"/>
      <c r="NP15" s="34"/>
      <c r="NQ15" s="34"/>
      <c r="NR15" s="34"/>
      <c r="NS15" s="34"/>
      <c r="NT15" s="34"/>
      <c r="NU15" s="34"/>
      <c r="NV15" s="34"/>
      <c r="NW15" s="34"/>
      <c r="NX15" s="34"/>
      <c r="NY15" s="34"/>
      <c r="NZ15" s="34"/>
      <c r="OA15" s="34"/>
      <c r="OB15" s="34"/>
      <c r="OC15" s="34"/>
      <c r="OD15" s="34"/>
      <c r="OE15" s="34"/>
      <c r="OF15" s="34"/>
      <c r="OG15" s="34"/>
      <c r="OH15" s="34"/>
      <c r="OI15" s="34"/>
      <c r="OJ15" s="34"/>
      <c r="OK15" s="34"/>
      <c r="OL15" s="34"/>
      <c r="OM15" s="34"/>
      <c r="ON15" s="34"/>
      <c r="OO15" s="34"/>
      <c r="OP15" s="34"/>
      <c r="OQ15" s="34"/>
      <c r="OR15" s="34"/>
      <c r="OS15" s="34"/>
      <c r="OT15" s="34"/>
      <c r="OU15" s="34"/>
      <c r="OV15" s="34"/>
      <c r="OW15" s="34"/>
      <c r="OX15" s="34"/>
      <c r="OY15" s="34"/>
      <c r="OZ15" s="34"/>
      <c r="PA15" s="34"/>
      <c r="PB15" s="34"/>
      <c r="PC15" s="34"/>
      <c r="PD15" s="34"/>
      <c r="PE15" s="34"/>
      <c r="PF15" s="34"/>
      <c r="PG15" s="34"/>
      <c r="PH15" s="34"/>
      <c r="PI15" s="34"/>
      <c r="PJ15" s="34"/>
      <c r="PK15" s="34"/>
      <c r="PL15" s="34"/>
      <c r="PM15" s="34"/>
      <c r="PN15" s="34"/>
      <c r="PO15" s="34"/>
      <c r="PP15" s="34"/>
      <c r="PQ15" s="34"/>
      <c r="PR15" s="34"/>
      <c r="PS15" s="34"/>
      <c r="PT15" s="34"/>
      <c r="PU15" s="34"/>
      <c r="PV15" s="34"/>
      <c r="PW15" s="34"/>
      <c r="PX15" s="34"/>
      <c r="PY15" s="34"/>
      <c r="PZ15" s="34"/>
      <c r="QA15" s="34"/>
      <c r="QB15" s="34"/>
      <c r="QC15" s="34"/>
      <c r="QD15" s="34"/>
      <c r="QE15" s="34"/>
      <c r="QF15" s="34"/>
      <c r="QG15" s="34"/>
      <c r="QH15" s="34"/>
      <c r="QI15" s="34"/>
      <c r="QJ15" s="34"/>
      <c r="QK15" s="34"/>
      <c r="QL15" s="34"/>
      <c r="QM15" s="34"/>
      <c r="QN15" s="34"/>
      <c r="QO15" s="34"/>
      <c r="QP15" s="34"/>
      <c r="QQ15" s="34"/>
      <c r="QR15" s="34"/>
      <c r="QS15" s="34"/>
      <c r="QT15" s="34"/>
      <c r="QU15" s="34"/>
      <c r="QV15" s="34"/>
      <c r="QW15" s="34"/>
      <c r="QX15" s="34"/>
      <c r="QY15" s="34"/>
      <c r="QZ15" s="34"/>
      <c r="RA15" s="34"/>
      <c r="RB15" s="34"/>
      <c r="RC15" s="34"/>
      <c r="RD15" s="34"/>
      <c r="RE15" s="34"/>
      <c r="RF15" s="34"/>
      <c r="RG15" s="34"/>
      <c r="RH15" s="34"/>
      <c r="RI15" s="34"/>
      <c r="RJ15" s="34"/>
      <c r="RK15" s="34"/>
      <c r="RL15" s="34"/>
      <c r="RM15" s="34"/>
      <c r="RN15" s="34"/>
      <c r="RO15" s="34"/>
      <c r="RP15" s="34"/>
      <c r="RQ15" s="34"/>
      <c r="RR15" s="34"/>
      <c r="RS15" s="34"/>
      <c r="RT15" s="34"/>
      <c r="RU15" s="34"/>
      <c r="RV15" s="34"/>
      <c r="RW15" s="34"/>
      <c r="RX15" s="34"/>
      <c r="RY15" s="34"/>
      <c r="RZ15" s="34"/>
      <c r="SA15" s="34"/>
      <c r="SB15" s="34"/>
      <c r="SC15" s="34"/>
      <c r="SD15" s="34"/>
      <c r="SE15" s="34"/>
      <c r="SF15" s="34"/>
      <c r="SG15" s="34"/>
      <c r="SH15" s="34"/>
      <c r="SI15" s="34"/>
      <c r="SJ15" s="34"/>
      <c r="SK15" s="34"/>
      <c r="SL15" s="34"/>
      <c r="SM15" s="34"/>
      <c r="SN15" s="34"/>
      <c r="SO15" s="34"/>
      <c r="SP15" s="34"/>
      <c r="SQ15" s="34"/>
      <c r="SR15" s="34"/>
      <c r="SS15" s="34"/>
      <c r="ST15" s="34"/>
      <c r="SU15" s="34"/>
      <c r="SV15" s="34"/>
      <c r="SW15" s="34"/>
      <c r="SX15" s="34"/>
      <c r="SY15" s="34"/>
      <c r="SZ15" s="34"/>
      <c r="TA15" s="34"/>
      <c r="TB15" s="34"/>
      <c r="TC15" s="34"/>
      <c r="TD15" s="34"/>
      <c r="TE15" s="34"/>
      <c r="TF15" s="34"/>
      <c r="TG15" s="34"/>
      <c r="TH15" s="34"/>
      <c r="TI15" s="34"/>
      <c r="TJ15" s="34"/>
      <c r="TK15" s="34"/>
      <c r="TL15" s="34"/>
      <c r="TM15" s="34"/>
      <c r="TN15" s="34"/>
      <c r="TO15" s="34"/>
      <c r="TP15" s="34"/>
      <c r="TQ15" s="34"/>
      <c r="TR15" s="34"/>
      <c r="TS15" s="34"/>
      <c r="TT15" s="34"/>
      <c r="TU15" s="34"/>
      <c r="TV15" s="34"/>
      <c r="TW15" s="34"/>
      <c r="TX15" s="34"/>
      <c r="TY15" s="34"/>
      <c r="TZ15" s="34"/>
      <c r="UA15" s="34"/>
      <c r="UB15" s="34"/>
      <c r="UC15" s="34"/>
      <c r="UD15" s="34"/>
      <c r="UE15" s="34"/>
      <c r="UF15" s="34"/>
      <c r="UG15" s="34"/>
      <c r="UH15" s="34"/>
      <c r="UI15" s="34"/>
      <c r="UJ15" s="34"/>
      <c r="UK15" s="34"/>
      <c r="UL15" s="34"/>
      <c r="UM15" s="34"/>
      <c r="UN15" s="34"/>
      <c r="UO15" s="34"/>
      <c r="UP15" s="34"/>
      <c r="UQ15" s="34"/>
      <c r="UR15" s="34"/>
      <c r="US15" s="34"/>
      <c r="UT15" s="34"/>
      <c r="UU15" s="34"/>
      <c r="UV15" s="34"/>
      <c r="UW15" s="34"/>
      <c r="UX15" s="34"/>
      <c r="UY15" s="34"/>
      <c r="UZ15" s="34"/>
      <c r="VA15" s="34"/>
      <c r="VB15" s="34"/>
      <c r="VC15" s="34"/>
      <c r="VD15" s="34"/>
      <c r="VE15" s="34"/>
      <c r="VF15" s="34"/>
      <c r="VG15" s="34"/>
      <c r="VH15" s="34"/>
      <c r="VI15" s="34"/>
      <c r="VJ15" s="34"/>
    </row>
    <row r="16" spans="1:582" ht="32">
      <c r="B16" s="321" t="s">
        <v>97</v>
      </c>
      <c r="C16" s="161" t="s">
        <v>192</v>
      </c>
      <c r="D16" s="240" t="s">
        <v>30</v>
      </c>
      <c r="E16" s="244">
        <v>480000</v>
      </c>
      <c r="F16" s="232" t="s">
        <v>21</v>
      </c>
      <c r="G16" s="198">
        <v>480000</v>
      </c>
      <c r="H16" s="162"/>
      <c r="I16" s="174" t="s">
        <v>239</v>
      </c>
      <c r="J16" s="89"/>
    </row>
    <row r="17" spans="1:582" ht="48">
      <c r="B17" s="322"/>
      <c r="C17" s="130" t="s">
        <v>92</v>
      </c>
      <c r="D17" s="229" t="s">
        <v>40</v>
      </c>
      <c r="E17" s="245">
        <v>22.57</v>
      </c>
      <c r="F17" s="233" t="s">
        <v>165</v>
      </c>
      <c r="G17" s="199">
        <v>22.57</v>
      </c>
      <c r="H17" s="76"/>
      <c r="I17" s="178" t="s">
        <v>224</v>
      </c>
      <c r="J17" s="73"/>
      <c r="K17" s="73"/>
      <c r="L17" s="73"/>
      <c r="O17" s="90"/>
    </row>
    <row r="18" spans="1:582" ht="15">
      <c r="B18" s="322"/>
      <c r="C18" s="129" t="s">
        <v>14</v>
      </c>
      <c r="D18" s="241" t="s">
        <v>13</v>
      </c>
      <c r="E18" s="246">
        <v>3.18</v>
      </c>
      <c r="F18" s="233" t="s">
        <v>156</v>
      </c>
      <c r="G18" s="200">
        <v>3.18</v>
      </c>
      <c r="H18" s="76"/>
      <c r="I18" s="179" t="s">
        <v>204</v>
      </c>
      <c r="J18" s="103"/>
      <c r="L18" s="90"/>
      <c r="O18" s="91"/>
    </row>
    <row r="19" spans="1:582" ht="32">
      <c r="B19" s="322"/>
      <c r="C19" s="129" t="s">
        <v>29</v>
      </c>
      <c r="D19" s="241" t="s">
        <v>15</v>
      </c>
      <c r="E19" s="247">
        <v>7.0000000000000001E-3</v>
      </c>
      <c r="F19" s="233" t="s">
        <v>19</v>
      </c>
      <c r="G19" s="201">
        <v>7.0000000000000001E-3</v>
      </c>
      <c r="H19" s="107"/>
      <c r="I19" s="180" t="s">
        <v>237</v>
      </c>
      <c r="J19" s="70"/>
      <c r="K19" s="80"/>
      <c r="L19" s="90"/>
      <c r="O19" s="91"/>
    </row>
    <row r="20" spans="1:582" ht="32">
      <c r="B20" s="322"/>
      <c r="C20" s="129" t="s">
        <v>11</v>
      </c>
      <c r="D20" s="241" t="s">
        <v>12</v>
      </c>
      <c r="E20" s="248">
        <v>0.88</v>
      </c>
      <c r="F20" s="233" t="s">
        <v>158</v>
      </c>
      <c r="G20" s="202">
        <v>0.88</v>
      </c>
      <c r="H20" s="131"/>
      <c r="I20" s="181" t="s">
        <v>238</v>
      </c>
      <c r="J20" s="301"/>
      <c r="M20"/>
      <c r="N20"/>
      <c r="O20" s="91"/>
    </row>
    <row r="21" spans="1:582" ht="48">
      <c r="B21" s="322"/>
      <c r="C21" s="129" t="s">
        <v>99</v>
      </c>
      <c r="D21" s="241" t="s">
        <v>100</v>
      </c>
      <c r="E21" s="249">
        <v>0</v>
      </c>
      <c r="F21" s="243" t="s">
        <v>101</v>
      </c>
      <c r="G21" s="203">
        <v>0</v>
      </c>
      <c r="H21" s="132"/>
      <c r="I21" s="181" t="s">
        <v>242</v>
      </c>
    </row>
    <row r="22" spans="1:582" ht="16">
      <c r="B22" s="322"/>
      <c r="C22" s="130" t="s">
        <v>62</v>
      </c>
      <c r="D22" s="229" t="s">
        <v>51</v>
      </c>
      <c r="E22" s="245">
        <v>19.61</v>
      </c>
      <c r="F22" s="233" t="s">
        <v>46</v>
      </c>
      <c r="G22" s="199">
        <v>19.61</v>
      </c>
      <c r="H22" s="76"/>
      <c r="I22" s="182" t="s">
        <v>203</v>
      </c>
      <c r="M22"/>
      <c r="N22"/>
    </row>
    <row r="23" spans="1:582" ht="48">
      <c r="B23" s="322"/>
      <c r="C23" s="130" t="s">
        <v>73</v>
      </c>
      <c r="D23" s="229" t="s">
        <v>50</v>
      </c>
      <c r="E23" s="245">
        <v>0</v>
      </c>
      <c r="F23" s="233" t="s">
        <v>74</v>
      </c>
      <c r="G23" s="199">
        <v>0</v>
      </c>
      <c r="H23" s="76"/>
      <c r="I23" s="173" t="s">
        <v>243</v>
      </c>
      <c r="J23" s="48"/>
    </row>
    <row r="24" spans="1:582" ht="48">
      <c r="B24" s="322"/>
      <c r="C24" s="130" t="s">
        <v>206</v>
      </c>
      <c r="D24" s="229" t="s">
        <v>227</v>
      </c>
      <c r="E24" s="245">
        <v>132</v>
      </c>
      <c r="F24" s="233" t="s">
        <v>221</v>
      </c>
      <c r="G24" s="199">
        <v>132</v>
      </c>
      <c r="H24" s="76"/>
      <c r="I24" s="173" t="s">
        <v>244</v>
      </c>
      <c r="J24" s="48"/>
    </row>
    <row r="25" spans="1:582" ht="15.75" customHeight="1">
      <c r="B25" s="322"/>
      <c r="C25" s="130" t="s">
        <v>134</v>
      </c>
      <c r="D25" s="229" t="s">
        <v>136</v>
      </c>
      <c r="E25" s="250">
        <v>0.15</v>
      </c>
      <c r="F25" s="233" t="s">
        <v>135</v>
      </c>
      <c r="G25" s="204">
        <v>0.15</v>
      </c>
      <c r="H25" s="133"/>
      <c r="I25" s="183" t="s">
        <v>137</v>
      </c>
      <c r="J25" s="72"/>
    </row>
    <row r="26" spans="1:582" ht="17" thickBot="1">
      <c r="B26" s="323"/>
      <c r="C26" s="159" t="s">
        <v>58</v>
      </c>
      <c r="D26" s="242" t="s">
        <v>76</v>
      </c>
      <c r="E26" s="251">
        <f>No_Vehicles*Annual_mi*(Diesel_efficiency/100)</f>
        <v>29624.479200000002</v>
      </c>
      <c r="F26" s="234" t="s">
        <v>157</v>
      </c>
      <c r="G26" s="205">
        <f>No_Vehicles*Annual_mi*(Diesel_efficiency/100)</f>
        <v>29624.479200000002</v>
      </c>
      <c r="H26" s="163"/>
      <c r="I26" s="176" t="s">
        <v>116</v>
      </c>
      <c r="J26" s="73"/>
    </row>
    <row r="27" spans="1:582" s="101" customFormat="1" ht="16" thickBot="1">
      <c r="A27" s="34"/>
      <c r="B27" s="102"/>
      <c r="C27" s="134"/>
      <c r="D27" s="127"/>
      <c r="E27" s="135"/>
      <c r="F27" s="128"/>
      <c r="G27" s="135"/>
      <c r="H27" s="135"/>
      <c r="I27" s="184"/>
      <c r="J27" s="72"/>
      <c r="K27" s="34"/>
      <c r="L27" s="34"/>
      <c r="M27" s="34"/>
      <c r="N27" s="34"/>
      <c r="O27" s="34"/>
      <c r="P27" s="100"/>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c r="IW27" s="34"/>
      <c r="IX27" s="34"/>
      <c r="IY27" s="34"/>
      <c r="IZ27" s="34"/>
      <c r="JA27" s="34"/>
      <c r="JB27" s="34"/>
      <c r="JC27" s="34"/>
      <c r="JD27" s="34"/>
      <c r="JE27" s="34"/>
      <c r="JF27" s="34"/>
      <c r="JG27" s="34"/>
      <c r="JH27" s="34"/>
      <c r="JI27" s="34"/>
      <c r="JJ27" s="34"/>
      <c r="JK27" s="34"/>
      <c r="JL27" s="34"/>
      <c r="JM27" s="34"/>
      <c r="JN27" s="34"/>
      <c r="JO27" s="34"/>
      <c r="JP27" s="34"/>
      <c r="JQ27" s="34"/>
      <c r="JR27" s="34"/>
      <c r="JS27" s="34"/>
      <c r="JT27" s="34"/>
      <c r="JU27" s="34"/>
      <c r="JV27" s="34"/>
      <c r="JW27" s="34"/>
      <c r="JX27" s="34"/>
      <c r="JY27" s="34"/>
      <c r="JZ27" s="34"/>
      <c r="KA27" s="34"/>
      <c r="KB27" s="34"/>
      <c r="KC27" s="34"/>
      <c r="KD27" s="34"/>
      <c r="KE27" s="34"/>
      <c r="KF27" s="34"/>
      <c r="KG27" s="34"/>
      <c r="KH27" s="34"/>
      <c r="KI27" s="34"/>
      <c r="KJ27" s="34"/>
      <c r="KK27" s="34"/>
      <c r="KL27" s="34"/>
      <c r="KM27" s="34"/>
      <c r="KN27" s="34"/>
      <c r="KO27" s="34"/>
      <c r="KP27" s="34"/>
      <c r="KQ27" s="34"/>
      <c r="KR27" s="34"/>
      <c r="KS27" s="34"/>
      <c r="KT27" s="34"/>
      <c r="KU27" s="34"/>
      <c r="KV27" s="34"/>
      <c r="KW27" s="34"/>
      <c r="KX27" s="34"/>
      <c r="KY27" s="34"/>
      <c r="KZ27" s="34"/>
      <c r="LA27" s="34"/>
      <c r="LB27" s="34"/>
      <c r="LC27" s="34"/>
      <c r="LD27" s="34"/>
      <c r="LE27" s="34"/>
      <c r="LF27" s="34"/>
      <c r="LG27" s="34"/>
      <c r="LH27" s="34"/>
      <c r="LI27" s="34"/>
      <c r="LJ27" s="34"/>
      <c r="LK27" s="34"/>
      <c r="LL27" s="34"/>
      <c r="LM27" s="34"/>
      <c r="LN27" s="34"/>
      <c r="LO27" s="34"/>
      <c r="LP27" s="34"/>
      <c r="LQ27" s="34"/>
      <c r="LR27" s="34"/>
      <c r="LS27" s="34"/>
      <c r="LT27" s="34"/>
      <c r="LU27" s="34"/>
      <c r="LV27" s="34"/>
      <c r="LW27" s="34"/>
      <c r="LX27" s="34"/>
      <c r="LY27" s="34"/>
      <c r="LZ27" s="34"/>
      <c r="MA27" s="34"/>
      <c r="MB27" s="34"/>
      <c r="MC27" s="34"/>
      <c r="MD27" s="34"/>
      <c r="ME27" s="34"/>
      <c r="MF27" s="34"/>
      <c r="MG27" s="34"/>
      <c r="MH27" s="34"/>
      <c r="MI27" s="34"/>
      <c r="MJ27" s="34"/>
      <c r="MK27" s="34"/>
      <c r="ML27" s="34"/>
      <c r="MM27" s="34"/>
      <c r="MN27" s="34"/>
      <c r="MO27" s="34"/>
      <c r="MP27" s="34"/>
      <c r="MQ27" s="34"/>
      <c r="MR27" s="34"/>
      <c r="MS27" s="34"/>
      <c r="MT27" s="34"/>
      <c r="MU27" s="34"/>
      <c r="MV27" s="34"/>
      <c r="MW27" s="34"/>
      <c r="MX27" s="34"/>
      <c r="MY27" s="34"/>
      <c r="MZ27" s="34"/>
      <c r="NA27" s="34"/>
      <c r="NB27" s="34"/>
      <c r="NC27" s="34"/>
      <c r="ND27" s="34"/>
      <c r="NE27" s="34"/>
      <c r="NF27" s="34"/>
      <c r="NG27" s="34"/>
      <c r="NH27" s="34"/>
      <c r="NI27" s="34"/>
      <c r="NJ27" s="34"/>
      <c r="NK27" s="34"/>
      <c r="NL27" s="34"/>
      <c r="NM27" s="34"/>
      <c r="NN27" s="34"/>
      <c r="NO27" s="34"/>
      <c r="NP27" s="34"/>
      <c r="NQ27" s="34"/>
      <c r="NR27" s="34"/>
      <c r="NS27" s="34"/>
      <c r="NT27" s="34"/>
      <c r="NU27" s="34"/>
      <c r="NV27" s="34"/>
      <c r="NW27" s="34"/>
      <c r="NX27" s="34"/>
      <c r="NY27" s="34"/>
      <c r="NZ27" s="34"/>
      <c r="OA27" s="34"/>
      <c r="OB27" s="34"/>
      <c r="OC27" s="34"/>
      <c r="OD27" s="34"/>
      <c r="OE27" s="34"/>
      <c r="OF27" s="34"/>
      <c r="OG27" s="34"/>
      <c r="OH27" s="34"/>
      <c r="OI27" s="34"/>
      <c r="OJ27" s="34"/>
      <c r="OK27" s="34"/>
      <c r="OL27" s="34"/>
      <c r="OM27" s="34"/>
      <c r="ON27" s="34"/>
      <c r="OO27" s="34"/>
      <c r="OP27" s="34"/>
      <c r="OQ27" s="34"/>
      <c r="OR27" s="34"/>
      <c r="OS27" s="34"/>
      <c r="OT27" s="34"/>
      <c r="OU27" s="34"/>
      <c r="OV27" s="34"/>
      <c r="OW27" s="34"/>
      <c r="OX27" s="34"/>
      <c r="OY27" s="34"/>
      <c r="OZ27" s="34"/>
      <c r="PA27" s="34"/>
      <c r="PB27" s="34"/>
      <c r="PC27" s="34"/>
      <c r="PD27" s="34"/>
      <c r="PE27" s="34"/>
      <c r="PF27" s="34"/>
      <c r="PG27" s="34"/>
      <c r="PH27" s="34"/>
      <c r="PI27" s="34"/>
      <c r="PJ27" s="34"/>
      <c r="PK27" s="34"/>
      <c r="PL27" s="34"/>
      <c r="PM27" s="34"/>
      <c r="PN27" s="34"/>
      <c r="PO27" s="34"/>
      <c r="PP27" s="34"/>
      <c r="PQ27" s="34"/>
      <c r="PR27" s="34"/>
      <c r="PS27" s="34"/>
      <c r="PT27" s="34"/>
      <c r="PU27" s="34"/>
      <c r="PV27" s="34"/>
      <c r="PW27" s="34"/>
      <c r="PX27" s="34"/>
      <c r="PY27" s="34"/>
      <c r="PZ27" s="34"/>
      <c r="QA27" s="34"/>
      <c r="QB27" s="34"/>
      <c r="QC27" s="34"/>
      <c r="QD27" s="34"/>
      <c r="QE27" s="34"/>
      <c r="QF27" s="34"/>
      <c r="QG27" s="34"/>
      <c r="QH27" s="34"/>
      <c r="QI27" s="34"/>
      <c r="QJ27" s="34"/>
      <c r="QK27" s="34"/>
      <c r="QL27" s="34"/>
      <c r="QM27" s="34"/>
      <c r="QN27" s="34"/>
      <c r="QO27" s="34"/>
      <c r="QP27" s="34"/>
      <c r="QQ27" s="34"/>
      <c r="QR27" s="34"/>
      <c r="QS27" s="34"/>
      <c r="QT27" s="34"/>
      <c r="QU27" s="34"/>
      <c r="QV27" s="34"/>
      <c r="QW27" s="34"/>
      <c r="QX27" s="34"/>
      <c r="QY27" s="34"/>
      <c r="QZ27" s="34"/>
      <c r="RA27" s="34"/>
      <c r="RB27" s="34"/>
      <c r="RC27" s="34"/>
      <c r="RD27" s="34"/>
      <c r="RE27" s="34"/>
      <c r="RF27" s="34"/>
      <c r="RG27" s="34"/>
      <c r="RH27" s="34"/>
      <c r="RI27" s="34"/>
      <c r="RJ27" s="34"/>
      <c r="RK27" s="34"/>
      <c r="RL27" s="34"/>
      <c r="RM27" s="34"/>
      <c r="RN27" s="34"/>
      <c r="RO27" s="34"/>
      <c r="RP27" s="34"/>
      <c r="RQ27" s="34"/>
      <c r="RR27" s="34"/>
      <c r="RS27" s="34"/>
      <c r="RT27" s="34"/>
      <c r="RU27" s="34"/>
      <c r="RV27" s="34"/>
      <c r="RW27" s="34"/>
      <c r="RX27" s="34"/>
      <c r="RY27" s="34"/>
      <c r="RZ27" s="34"/>
      <c r="SA27" s="34"/>
      <c r="SB27" s="34"/>
      <c r="SC27" s="34"/>
      <c r="SD27" s="34"/>
      <c r="SE27" s="34"/>
      <c r="SF27" s="34"/>
      <c r="SG27" s="34"/>
      <c r="SH27" s="34"/>
      <c r="SI27" s="34"/>
      <c r="SJ27" s="34"/>
      <c r="SK27" s="34"/>
      <c r="SL27" s="34"/>
      <c r="SM27" s="34"/>
      <c r="SN27" s="34"/>
      <c r="SO27" s="34"/>
      <c r="SP27" s="34"/>
      <c r="SQ27" s="34"/>
      <c r="SR27" s="34"/>
      <c r="SS27" s="34"/>
      <c r="ST27" s="34"/>
      <c r="SU27" s="34"/>
      <c r="SV27" s="34"/>
      <c r="SW27" s="34"/>
      <c r="SX27" s="34"/>
      <c r="SY27" s="34"/>
      <c r="SZ27" s="34"/>
      <c r="TA27" s="34"/>
      <c r="TB27" s="34"/>
      <c r="TC27" s="34"/>
      <c r="TD27" s="34"/>
      <c r="TE27" s="34"/>
      <c r="TF27" s="34"/>
      <c r="TG27" s="34"/>
      <c r="TH27" s="34"/>
      <c r="TI27" s="34"/>
      <c r="TJ27" s="34"/>
      <c r="TK27" s="34"/>
      <c r="TL27" s="34"/>
      <c r="TM27" s="34"/>
      <c r="TN27" s="34"/>
      <c r="TO27" s="34"/>
      <c r="TP27" s="34"/>
      <c r="TQ27" s="34"/>
      <c r="TR27" s="34"/>
      <c r="TS27" s="34"/>
      <c r="TT27" s="34"/>
      <c r="TU27" s="34"/>
      <c r="TV27" s="34"/>
      <c r="TW27" s="34"/>
      <c r="TX27" s="34"/>
      <c r="TY27" s="34"/>
      <c r="TZ27" s="34"/>
      <c r="UA27" s="34"/>
      <c r="UB27" s="34"/>
      <c r="UC27" s="34"/>
      <c r="UD27" s="34"/>
      <c r="UE27" s="34"/>
      <c r="UF27" s="34"/>
      <c r="UG27" s="34"/>
      <c r="UH27" s="34"/>
      <c r="UI27" s="34"/>
      <c r="UJ27" s="34"/>
      <c r="UK27" s="34"/>
      <c r="UL27" s="34"/>
      <c r="UM27" s="34"/>
      <c r="UN27" s="34"/>
      <c r="UO27" s="34"/>
      <c r="UP27" s="34"/>
      <c r="UQ27" s="34"/>
      <c r="UR27" s="34"/>
      <c r="US27" s="34"/>
      <c r="UT27" s="34"/>
      <c r="UU27" s="34"/>
      <c r="UV27" s="34"/>
      <c r="UW27" s="34"/>
      <c r="UX27" s="34"/>
      <c r="UY27" s="34"/>
      <c r="UZ27" s="34"/>
      <c r="VA27" s="34"/>
      <c r="VB27" s="34"/>
      <c r="VC27" s="34"/>
      <c r="VD27" s="34"/>
      <c r="VE27" s="34"/>
      <c r="VF27" s="34"/>
      <c r="VG27" s="34"/>
      <c r="VH27" s="34"/>
      <c r="VI27" s="34"/>
      <c r="VJ27" s="34"/>
    </row>
    <row r="28" spans="1:582" ht="16">
      <c r="B28" s="327" t="s">
        <v>96</v>
      </c>
      <c r="C28" s="149" t="s">
        <v>185</v>
      </c>
      <c r="D28" s="240" t="s">
        <v>186</v>
      </c>
      <c r="E28" s="257">
        <v>887308</v>
      </c>
      <c r="F28" s="232" t="s">
        <v>21</v>
      </c>
      <c r="G28" s="206">
        <v>887308</v>
      </c>
      <c r="H28" s="158"/>
      <c r="I28" s="185" t="s">
        <v>208</v>
      </c>
      <c r="J28" s="100"/>
    </row>
    <row r="29" spans="1:582" ht="16">
      <c r="B29" s="328"/>
      <c r="C29" s="130" t="s">
        <v>256</v>
      </c>
      <c r="D29" s="229" t="s">
        <v>257</v>
      </c>
      <c r="E29" s="258" t="s">
        <v>285</v>
      </c>
      <c r="F29" s="233"/>
      <c r="G29" s="207"/>
      <c r="H29" s="136"/>
      <c r="I29" s="173"/>
      <c r="J29" s="100"/>
    </row>
    <row r="30" spans="1:582" ht="32">
      <c r="B30" s="328"/>
      <c r="C30" s="129" t="s">
        <v>148</v>
      </c>
      <c r="D30" s="229" t="s">
        <v>149</v>
      </c>
      <c r="E30" s="259">
        <f>IF(Depot_or_Route="depot",351,90)</f>
        <v>351</v>
      </c>
      <c r="F30" s="233" t="s">
        <v>150</v>
      </c>
      <c r="G30" s="208">
        <v>351</v>
      </c>
      <c r="H30" s="227">
        <v>90</v>
      </c>
      <c r="I30" s="175" t="s">
        <v>246</v>
      </c>
      <c r="J30" s="117"/>
      <c r="K30" s="99"/>
      <c r="L30" s="100"/>
    </row>
    <row r="31" spans="1:582" ht="32">
      <c r="B31" s="328"/>
      <c r="C31" s="130" t="s">
        <v>39</v>
      </c>
      <c r="D31" s="229" t="s">
        <v>38</v>
      </c>
      <c r="E31" s="245">
        <v>181.46</v>
      </c>
      <c r="F31" s="233" t="s">
        <v>166</v>
      </c>
      <c r="G31" s="199">
        <v>181.46</v>
      </c>
      <c r="H31" s="76"/>
      <c r="I31" s="175" t="s">
        <v>247</v>
      </c>
      <c r="J31" s="77"/>
      <c r="L31" s="118"/>
    </row>
    <row r="32" spans="1:582" ht="16">
      <c r="B32" s="328"/>
      <c r="C32" s="129" t="s">
        <v>107</v>
      </c>
      <c r="D32" s="241" t="s">
        <v>108</v>
      </c>
      <c r="E32" s="238">
        <v>312</v>
      </c>
      <c r="F32" s="233" t="s">
        <v>110</v>
      </c>
      <c r="G32" s="195">
        <v>312</v>
      </c>
      <c r="H32" s="125"/>
      <c r="I32" s="186" t="s">
        <v>211</v>
      </c>
      <c r="J32" s="95"/>
    </row>
    <row r="33" spans="2:16" ht="64">
      <c r="B33" s="328"/>
      <c r="C33" s="129" t="s">
        <v>249</v>
      </c>
      <c r="D33" s="241" t="s">
        <v>253</v>
      </c>
      <c r="E33" s="238" t="s">
        <v>57</v>
      </c>
      <c r="F33" s="233" t="s">
        <v>250</v>
      </c>
      <c r="G33" s="195" t="s">
        <v>57</v>
      </c>
      <c r="H33" s="125"/>
      <c r="I33" s="186" t="s">
        <v>254</v>
      </c>
      <c r="J33" s="95"/>
    </row>
    <row r="34" spans="2:16" ht="64">
      <c r="B34" s="328"/>
      <c r="C34" s="129" t="s">
        <v>251</v>
      </c>
      <c r="D34" s="241" t="s">
        <v>252</v>
      </c>
      <c r="E34" s="238">
        <v>12</v>
      </c>
      <c r="F34" s="233" t="s">
        <v>57</v>
      </c>
      <c r="G34" s="195">
        <v>12</v>
      </c>
      <c r="H34" s="125"/>
      <c r="I34" s="175" t="s">
        <v>245</v>
      </c>
      <c r="J34" s="95"/>
    </row>
    <row r="35" spans="2:16" ht="32">
      <c r="B35" s="328"/>
      <c r="C35" s="129" t="s">
        <v>111</v>
      </c>
      <c r="D35" s="241" t="s">
        <v>113</v>
      </c>
      <c r="E35" s="237">
        <v>4380</v>
      </c>
      <c r="F35" s="254" t="s">
        <v>259</v>
      </c>
      <c r="G35" s="194">
        <v>4380</v>
      </c>
      <c r="H35" s="124"/>
      <c r="I35" s="175" t="s">
        <v>248</v>
      </c>
      <c r="J35" s="72"/>
    </row>
    <row r="36" spans="2:16" ht="64">
      <c r="B36" s="328"/>
      <c r="C36" s="129" t="s">
        <v>112</v>
      </c>
      <c r="D36" s="229" t="s">
        <v>64</v>
      </c>
      <c r="E36" s="260">
        <f>ROUND(IF(Years_or_Cycles="years",Expected_battery_life,IF(Battery_cycles/(days_per_year*Daily_charges)&lt;Bus_Life,(Battery_cycles/(days_per_year*Daily_charges)),Bus_Life)),0)</f>
        <v>12</v>
      </c>
      <c r="F36" s="233" t="s">
        <v>57</v>
      </c>
      <c r="G36" s="207" t="s">
        <v>255</v>
      </c>
      <c r="H36" s="137"/>
      <c r="I36" s="173" t="s">
        <v>297</v>
      </c>
      <c r="J36" s="73"/>
    </row>
    <row r="37" spans="2:16" ht="45.75" customHeight="1">
      <c r="B37" s="328"/>
      <c r="C37" s="129" t="s">
        <v>177</v>
      </c>
      <c r="D37" s="229" t="s">
        <v>42</v>
      </c>
      <c r="E37" s="261">
        <v>8.2400000000000001E-2</v>
      </c>
      <c r="F37" s="254" t="s">
        <v>19</v>
      </c>
      <c r="G37" s="209">
        <v>8.2400000000000001E-2</v>
      </c>
      <c r="H37" s="138"/>
      <c r="I37" s="187" t="s">
        <v>241</v>
      </c>
      <c r="J37" s="120"/>
    </row>
    <row r="38" spans="2:16" ht="16">
      <c r="B38" s="328"/>
      <c r="C38" s="130" t="s">
        <v>138</v>
      </c>
      <c r="D38" s="229" t="s">
        <v>139</v>
      </c>
      <c r="E38" s="250">
        <v>0.15</v>
      </c>
      <c r="F38" s="233" t="s">
        <v>135</v>
      </c>
      <c r="G38" s="204">
        <v>0.15</v>
      </c>
      <c r="H38" s="133"/>
      <c r="I38" s="183" t="s">
        <v>240</v>
      </c>
      <c r="J38" s="70"/>
      <c r="K38" s="72"/>
      <c r="L38" s="79"/>
    </row>
    <row r="39" spans="2:16" ht="32">
      <c r="B39" s="328"/>
      <c r="C39" s="139" t="s">
        <v>94</v>
      </c>
      <c r="D39" s="241" t="s">
        <v>70</v>
      </c>
      <c r="E39" s="262">
        <v>0.64</v>
      </c>
      <c r="F39" s="255" t="s">
        <v>163</v>
      </c>
      <c r="G39" s="210">
        <v>0.64</v>
      </c>
      <c r="H39" s="140"/>
      <c r="I39" s="173" t="s">
        <v>164</v>
      </c>
      <c r="J39" s="73"/>
    </row>
    <row r="40" spans="2:16" ht="28">
      <c r="B40" s="328"/>
      <c r="C40" s="139" t="s">
        <v>196</v>
      </c>
      <c r="D40" s="241" t="s">
        <v>197</v>
      </c>
      <c r="E40" s="263">
        <v>1</v>
      </c>
      <c r="F40" s="255" t="s">
        <v>57</v>
      </c>
      <c r="G40" s="211">
        <v>1</v>
      </c>
      <c r="H40" s="141"/>
      <c r="I40" s="182" t="s">
        <v>198</v>
      </c>
      <c r="J40" s="73"/>
    </row>
    <row r="41" spans="2:16" ht="32">
      <c r="B41" s="328"/>
      <c r="C41" s="139" t="s">
        <v>199</v>
      </c>
      <c r="D41" s="241" t="s">
        <v>200</v>
      </c>
      <c r="E41" s="262">
        <v>0.18</v>
      </c>
      <c r="F41" s="255" t="s">
        <v>163</v>
      </c>
      <c r="G41" s="210">
        <v>0.18</v>
      </c>
      <c r="H41" s="140"/>
      <c r="I41" s="175" t="s">
        <v>225</v>
      </c>
      <c r="J41" s="73"/>
    </row>
    <row r="42" spans="2:16" ht="32">
      <c r="B42" s="328"/>
      <c r="C42" s="129" t="s">
        <v>53</v>
      </c>
      <c r="D42" s="241" t="s">
        <v>68</v>
      </c>
      <c r="E42" s="264">
        <v>0.1275</v>
      </c>
      <c r="F42" s="233" t="s">
        <v>67</v>
      </c>
      <c r="G42" s="212">
        <v>0.1275</v>
      </c>
      <c r="H42" s="142"/>
      <c r="I42" s="188" t="s">
        <v>212</v>
      </c>
      <c r="J42" s="70"/>
    </row>
    <row r="43" spans="2:16" ht="32">
      <c r="B43" s="328"/>
      <c r="C43" s="129" t="s">
        <v>170</v>
      </c>
      <c r="D43" s="229" t="s">
        <v>179</v>
      </c>
      <c r="E43" s="265">
        <v>3.45</v>
      </c>
      <c r="F43" s="254" t="s">
        <v>171</v>
      </c>
      <c r="G43" s="213">
        <v>3.45</v>
      </c>
      <c r="H43" s="143"/>
      <c r="I43" s="188" t="s">
        <v>267</v>
      </c>
      <c r="J43" s="98"/>
      <c r="O43" s="92"/>
    </row>
    <row r="44" spans="2:16" ht="32">
      <c r="B44" s="328"/>
      <c r="C44" s="129" t="s">
        <v>54</v>
      </c>
      <c r="D44" s="241" t="s">
        <v>69</v>
      </c>
      <c r="E44" s="266">
        <v>-1E-3</v>
      </c>
      <c r="F44" s="233" t="s">
        <v>22</v>
      </c>
      <c r="G44" s="201">
        <v>-1E-3</v>
      </c>
      <c r="H44" s="107"/>
      <c r="I44" s="189" t="s">
        <v>222</v>
      </c>
      <c r="O44" s="92"/>
      <c r="P44" s="92"/>
    </row>
    <row r="45" spans="2:16" ht="64">
      <c r="B45" s="328"/>
      <c r="C45" s="129" t="s">
        <v>41</v>
      </c>
      <c r="D45" s="229" t="s">
        <v>43</v>
      </c>
      <c r="E45" s="267">
        <f>Battery_Capacity*137</f>
        <v>48087</v>
      </c>
      <c r="F45" s="254" t="s">
        <v>44</v>
      </c>
      <c r="G45" s="207" t="s">
        <v>255</v>
      </c>
      <c r="H45" s="136"/>
      <c r="I45" s="173" t="s">
        <v>261</v>
      </c>
      <c r="J45" s="77"/>
      <c r="K45" s="62"/>
    </row>
    <row r="46" spans="2:16" ht="16">
      <c r="B46" s="328"/>
      <c r="C46" s="129" t="s">
        <v>190</v>
      </c>
      <c r="D46" s="229" t="s">
        <v>7</v>
      </c>
      <c r="E46" s="268">
        <f>(Price_Electric_Bus-Cost_Diesel_Bus)</f>
        <v>407308</v>
      </c>
      <c r="F46" s="233" t="s">
        <v>217</v>
      </c>
      <c r="G46" s="207" t="s">
        <v>255</v>
      </c>
      <c r="H46" s="144"/>
      <c r="I46" s="173" t="s">
        <v>298</v>
      </c>
    </row>
    <row r="47" spans="2:16" ht="32">
      <c r="B47" s="328"/>
      <c r="C47" s="129" t="s">
        <v>234</v>
      </c>
      <c r="D47" s="241" t="s">
        <v>56</v>
      </c>
      <c r="E47" s="269">
        <f>(No_Vehicles*Annual_mi*(EV_efficiency/100))+((1-EVSE_Efficiency)*(No_Vehicles*Annual_mi*(EV_efficiency/100)))</f>
        <v>258660.37143359997</v>
      </c>
      <c r="F47" s="233" t="s">
        <v>55</v>
      </c>
      <c r="G47" s="207" t="s">
        <v>255</v>
      </c>
      <c r="H47" s="125"/>
      <c r="I47" s="173" t="s">
        <v>299</v>
      </c>
    </row>
    <row r="48" spans="2:16" ht="32">
      <c r="B48" s="328"/>
      <c r="C48" s="129" t="s">
        <v>235</v>
      </c>
      <c r="D48" s="241" t="s">
        <v>71</v>
      </c>
      <c r="E48" s="269">
        <f>((No_Vehicles*Annual_mi*EV_efficiency)/(100*12))+((1-EVSE_Efficiency)*((No_Vehicles*Annual_mi*EV_efficiency)/(100*12)))</f>
        <v>21555.030952800003</v>
      </c>
      <c r="F48" s="233" t="s">
        <v>75</v>
      </c>
      <c r="G48" s="207" t="s">
        <v>255</v>
      </c>
      <c r="H48" s="125"/>
      <c r="I48" s="173" t="s">
        <v>300</v>
      </c>
    </row>
    <row r="49" spans="1:582" ht="16">
      <c r="B49" s="328"/>
      <c r="C49" s="129" t="s">
        <v>102</v>
      </c>
      <c r="D49" s="241" t="s">
        <v>104</v>
      </c>
      <c r="E49" s="269">
        <f>Battery_Capacity*100/EV_efficiency</f>
        <v>193.43105918659759</v>
      </c>
      <c r="F49" s="233" t="s">
        <v>167</v>
      </c>
      <c r="G49" s="207" t="s">
        <v>255</v>
      </c>
      <c r="H49" s="125"/>
      <c r="I49" s="173" t="s">
        <v>202</v>
      </c>
    </row>
    <row r="50" spans="1:582" ht="16">
      <c r="B50" s="328"/>
      <c r="C50" s="129" t="s">
        <v>105</v>
      </c>
      <c r="D50" s="241" t="s">
        <v>106</v>
      </c>
      <c r="E50" s="269">
        <f>Annual_mi/days_per_year</f>
        <v>105.17307692307692</v>
      </c>
      <c r="F50" s="233" t="s">
        <v>168</v>
      </c>
      <c r="G50" s="207" t="s">
        <v>255</v>
      </c>
      <c r="H50" s="125"/>
      <c r="I50" s="173" t="s">
        <v>115</v>
      </c>
    </row>
    <row r="51" spans="1:582" ht="16">
      <c r="B51" s="328"/>
      <c r="C51" s="129" t="s">
        <v>103</v>
      </c>
      <c r="D51" s="241" t="s">
        <v>109</v>
      </c>
      <c r="E51" s="270">
        <f>Daily_distance/Battery_Range</f>
        <v>0.54372383300460225</v>
      </c>
      <c r="F51" s="233" t="s">
        <v>191</v>
      </c>
      <c r="G51" s="207" t="s">
        <v>255</v>
      </c>
      <c r="H51" s="126"/>
      <c r="I51" s="173" t="s">
        <v>114</v>
      </c>
      <c r="J51" s="77"/>
    </row>
    <row r="52" spans="1:582" ht="32">
      <c r="B52" s="328"/>
      <c r="C52" s="129" t="s">
        <v>260</v>
      </c>
      <c r="D52" s="252" t="s">
        <v>66</v>
      </c>
      <c r="E52" s="267">
        <f>IF(Battery_Life&lt;Bus_Life,Battery_Cost-(Battery_Cost*Battery_Cost_Redux*Battery_Life),0)</f>
        <v>0</v>
      </c>
      <c r="F52" s="254"/>
      <c r="G52" s="207" t="s">
        <v>255</v>
      </c>
      <c r="H52" s="136"/>
      <c r="I52" s="173" t="s">
        <v>301</v>
      </c>
    </row>
    <row r="53" spans="1:582" ht="81" thickBot="1">
      <c r="B53" s="329"/>
      <c r="C53" s="159" t="s">
        <v>151</v>
      </c>
      <c r="D53" s="253" t="s">
        <v>65</v>
      </c>
      <c r="E53" s="271">
        <f>IF((100/157)*(Battery_Cost-(Battery_Cost*Battery_Cost_Redux*Battery_Life))&gt;0,(100/157)*(Battery_Cost-(Battery_Cost*Battery_Cost_Redux*Battery_Life)),0)</f>
        <v>343.04101910827876</v>
      </c>
      <c r="F53" s="256" t="s">
        <v>152</v>
      </c>
      <c r="G53" s="214" t="s">
        <v>255</v>
      </c>
      <c r="H53" s="160"/>
      <c r="I53" s="176" t="s">
        <v>302</v>
      </c>
    </row>
    <row r="54" spans="1:582" s="101" customFormat="1" ht="16" thickBot="1">
      <c r="A54" s="34"/>
      <c r="B54" s="102"/>
      <c r="C54" s="146"/>
      <c r="D54" s="147"/>
      <c r="E54" s="148"/>
      <c r="F54" s="128"/>
      <c r="G54" s="148"/>
      <c r="H54" s="148"/>
      <c r="I54" s="190"/>
      <c r="J54" s="34"/>
      <c r="K54" s="34"/>
      <c r="L54" s="34"/>
      <c r="M54" s="34"/>
      <c r="N54" s="34"/>
      <c r="O54" s="92"/>
      <c r="P54" s="92"/>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c r="IV54" s="34"/>
      <c r="IW54" s="34"/>
      <c r="IX54" s="34"/>
      <c r="IY54" s="34"/>
      <c r="IZ54" s="34"/>
      <c r="JA54" s="34"/>
      <c r="JB54" s="34"/>
      <c r="JC54" s="34"/>
      <c r="JD54" s="34"/>
      <c r="JE54" s="34"/>
      <c r="JF54" s="34"/>
      <c r="JG54" s="34"/>
      <c r="JH54" s="34"/>
      <c r="JI54" s="34"/>
      <c r="JJ54" s="34"/>
      <c r="JK54" s="34"/>
      <c r="JL54" s="34"/>
      <c r="JM54" s="34"/>
      <c r="JN54" s="34"/>
      <c r="JO54" s="34"/>
      <c r="JP54" s="34"/>
      <c r="JQ54" s="34"/>
      <c r="JR54" s="34"/>
      <c r="JS54" s="34"/>
      <c r="JT54" s="34"/>
      <c r="JU54" s="34"/>
      <c r="JV54" s="34"/>
      <c r="JW54" s="34"/>
      <c r="JX54" s="34"/>
      <c r="JY54" s="34"/>
      <c r="JZ54" s="34"/>
      <c r="KA54" s="34"/>
      <c r="KB54" s="34"/>
      <c r="KC54" s="34"/>
      <c r="KD54" s="34"/>
      <c r="KE54" s="34"/>
      <c r="KF54" s="34"/>
      <c r="KG54" s="34"/>
      <c r="KH54" s="34"/>
      <c r="KI54" s="34"/>
      <c r="KJ54" s="34"/>
      <c r="KK54" s="34"/>
      <c r="KL54" s="34"/>
      <c r="KM54" s="34"/>
      <c r="KN54" s="34"/>
      <c r="KO54" s="34"/>
      <c r="KP54" s="34"/>
      <c r="KQ54" s="34"/>
      <c r="KR54" s="34"/>
      <c r="KS54" s="34"/>
      <c r="KT54" s="34"/>
      <c r="KU54" s="34"/>
      <c r="KV54" s="34"/>
      <c r="KW54" s="34"/>
      <c r="KX54" s="34"/>
      <c r="KY54" s="34"/>
      <c r="KZ54" s="34"/>
      <c r="LA54" s="34"/>
      <c r="LB54" s="34"/>
      <c r="LC54" s="34"/>
      <c r="LD54" s="34"/>
      <c r="LE54" s="34"/>
      <c r="LF54" s="34"/>
      <c r="LG54" s="34"/>
      <c r="LH54" s="34"/>
      <c r="LI54" s="34"/>
      <c r="LJ54" s="34"/>
      <c r="LK54" s="34"/>
      <c r="LL54" s="34"/>
      <c r="LM54" s="34"/>
      <c r="LN54" s="34"/>
      <c r="LO54" s="34"/>
      <c r="LP54" s="34"/>
      <c r="LQ54" s="34"/>
      <c r="LR54" s="34"/>
      <c r="LS54" s="34"/>
      <c r="LT54" s="34"/>
      <c r="LU54" s="34"/>
      <c r="LV54" s="34"/>
      <c r="LW54" s="34"/>
      <c r="LX54" s="34"/>
      <c r="LY54" s="34"/>
      <c r="LZ54" s="34"/>
      <c r="MA54" s="34"/>
      <c r="MB54" s="34"/>
      <c r="MC54" s="34"/>
      <c r="MD54" s="34"/>
      <c r="ME54" s="34"/>
      <c r="MF54" s="34"/>
      <c r="MG54" s="34"/>
      <c r="MH54" s="34"/>
      <c r="MI54" s="34"/>
      <c r="MJ54" s="34"/>
      <c r="MK54" s="34"/>
      <c r="ML54" s="34"/>
      <c r="MM54" s="34"/>
      <c r="MN54" s="34"/>
      <c r="MO54" s="34"/>
      <c r="MP54" s="34"/>
      <c r="MQ54" s="34"/>
      <c r="MR54" s="34"/>
      <c r="MS54" s="34"/>
      <c r="MT54" s="34"/>
      <c r="MU54" s="34"/>
      <c r="MV54" s="34"/>
      <c r="MW54" s="34"/>
      <c r="MX54" s="34"/>
      <c r="MY54" s="34"/>
      <c r="MZ54" s="34"/>
      <c r="NA54" s="34"/>
      <c r="NB54" s="34"/>
      <c r="NC54" s="34"/>
      <c r="ND54" s="34"/>
      <c r="NE54" s="34"/>
      <c r="NF54" s="34"/>
      <c r="NG54" s="34"/>
      <c r="NH54" s="34"/>
      <c r="NI54" s="34"/>
      <c r="NJ54" s="34"/>
      <c r="NK54" s="34"/>
      <c r="NL54" s="34"/>
      <c r="NM54" s="34"/>
      <c r="NN54" s="34"/>
      <c r="NO54" s="34"/>
      <c r="NP54" s="34"/>
      <c r="NQ54" s="34"/>
      <c r="NR54" s="34"/>
      <c r="NS54" s="34"/>
      <c r="NT54" s="34"/>
      <c r="NU54" s="34"/>
      <c r="NV54" s="34"/>
      <c r="NW54" s="34"/>
      <c r="NX54" s="34"/>
      <c r="NY54" s="34"/>
      <c r="NZ54" s="34"/>
      <c r="OA54" s="34"/>
      <c r="OB54" s="34"/>
      <c r="OC54" s="34"/>
      <c r="OD54" s="34"/>
      <c r="OE54" s="34"/>
      <c r="OF54" s="34"/>
      <c r="OG54" s="34"/>
      <c r="OH54" s="34"/>
      <c r="OI54" s="34"/>
      <c r="OJ54" s="34"/>
      <c r="OK54" s="34"/>
      <c r="OL54" s="34"/>
      <c r="OM54" s="34"/>
      <c r="ON54" s="34"/>
      <c r="OO54" s="34"/>
      <c r="OP54" s="34"/>
      <c r="OQ54" s="34"/>
      <c r="OR54" s="34"/>
      <c r="OS54" s="34"/>
      <c r="OT54" s="34"/>
      <c r="OU54" s="34"/>
      <c r="OV54" s="34"/>
      <c r="OW54" s="34"/>
      <c r="OX54" s="34"/>
      <c r="OY54" s="34"/>
      <c r="OZ54" s="34"/>
      <c r="PA54" s="34"/>
      <c r="PB54" s="34"/>
      <c r="PC54" s="34"/>
      <c r="PD54" s="34"/>
      <c r="PE54" s="34"/>
      <c r="PF54" s="34"/>
      <c r="PG54" s="34"/>
      <c r="PH54" s="34"/>
      <c r="PI54" s="34"/>
      <c r="PJ54" s="34"/>
      <c r="PK54" s="34"/>
      <c r="PL54" s="34"/>
      <c r="PM54" s="34"/>
      <c r="PN54" s="34"/>
      <c r="PO54" s="34"/>
      <c r="PP54" s="34"/>
      <c r="PQ54" s="34"/>
      <c r="PR54" s="34"/>
      <c r="PS54" s="34"/>
      <c r="PT54" s="34"/>
      <c r="PU54" s="34"/>
      <c r="PV54" s="34"/>
      <c r="PW54" s="34"/>
      <c r="PX54" s="34"/>
      <c r="PY54" s="34"/>
      <c r="PZ54" s="34"/>
      <c r="QA54" s="34"/>
      <c r="QB54" s="34"/>
      <c r="QC54" s="34"/>
      <c r="QD54" s="34"/>
      <c r="QE54" s="34"/>
      <c r="QF54" s="34"/>
      <c r="QG54" s="34"/>
      <c r="QH54" s="34"/>
      <c r="QI54" s="34"/>
      <c r="QJ54" s="34"/>
      <c r="QK54" s="34"/>
      <c r="QL54" s="34"/>
      <c r="QM54" s="34"/>
      <c r="QN54" s="34"/>
      <c r="QO54" s="34"/>
      <c r="QP54" s="34"/>
      <c r="QQ54" s="34"/>
      <c r="QR54" s="34"/>
      <c r="QS54" s="34"/>
      <c r="QT54" s="34"/>
      <c r="QU54" s="34"/>
      <c r="QV54" s="34"/>
      <c r="QW54" s="34"/>
      <c r="QX54" s="34"/>
      <c r="QY54" s="34"/>
      <c r="QZ54" s="34"/>
      <c r="RA54" s="34"/>
      <c r="RB54" s="34"/>
      <c r="RC54" s="34"/>
      <c r="RD54" s="34"/>
      <c r="RE54" s="34"/>
      <c r="RF54" s="34"/>
      <c r="RG54" s="34"/>
      <c r="RH54" s="34"/>
      <c r="RI54" s="34"/>
      <c r="RJ54" s="34"/>
      <c r="RK54" s="34"/>
      <c r="RL54" s="34"/>
      <c r="RM54" s="34"/>
      <c r="RN54" s="34"/>
      <c r="RO54" s="34"/>
      <c r="RP54" s="34"/>
      <c r="RQ54" s="34"/>
      <c r="RR54" s="34"/>
      <c r="RS54" s="34"/>
      <c r="RT54" s="34"/>
      <c r="RU54" s="34"/>
      <c r="RV54" s="34"/>
      <c r="RW54" s="34"/>
      <c r="RX54" s="34"/>
      <c r="RY54" s="34"/>
      <c r="RZ54" s="34"/>
      <c r="SA54" s="34"/>
      <c r="SB54" s="34"/>
      <c r="SC54" s="34"/>
      <c r="SD54" s="34"/>
      <c r="SE54" s="34"/>
      <c r="SF54" s="34"/>
      <c r="SG54" s="34"/>
      <c r="SH54" s="34"/>
      <c r="SI54" s="34"/>
      <c r="SJ54" s="34"/>
      <c r="SK54" s="34"/>
      <c r="SL54" s="34"/>
      <c r="SM54" s="34"/>
      <c r="SN54" s="34"/>
      <c r="SO54" s="34"/>
      <c r="SP54" s="34"/>
      <c r="SQ54" s="34"/>
      <c r="SR54" s="34"/>
      <c r="SS54" s="34"/>
      <c r="ST54" s="34"/>
      <c r="SU54" s="34"/>
      <c r="SV54" s="34"/>
      <c r="SW54" s="34"/>
      <c r="SX54" s="34"/>
      <c r="SY54" s="34"/>
      <c r="SZ54" s="34"/>
      <c r="TA54" s="34"/>
      <c r="TB54" s="34"/>
      <c r="TC54" s="34"/>
      <c r="TD54" s="34"/>
      <c r="TE54" s="34"/>
      <c r="TF54" s="34"/>
      <c r="TG54" s="34"/>
      <c r="TH54" s="34"/>
      <c r="TI54" s="34"/>
      <c r="TJ54" s="34"/>
      <c r="TK54" s="34"/>
      <c r="TL54" s="34"/>
      <c r="TM54" s="34"/>
      <c r="TN54" s="34"/>
      <c r="TO54" s="34"/>
      <c r="TP54" s="34"/>
      <c r="TQ54" s="34"/>
      <c r="TR54" s="34"/>
      <c r="TS54" s="34"/>
      <c r="TT54" s="34"/>
      <c r="TU54" s="34"/>
      <c r="TV54" s="34"/>
      <c r="TW54" s="34"/>
      <c r="TX54" s="34"/>
      <c r="TY54" s="34"/>
      <c r="TZ54" s="34"/>
      <c r="UA54" s="34"/>
      <c r="UB54" s="34"/>
      <c r="UC54" s="34"/>
      <c r="UD54" s="34"/>
      <c r="UE54" s="34"/>
      <c r="UF54" s="34"/>
      <c r="UG54" s="34"/>
      <c r="UH54" s="34"/>
      <c r="UI54" s="34"/>
      <c r="UJ54" s="34"/>
      <c r="UK54" s="34"/>
      <c r="UL54" s="34"/>
      <c r="UM54" s="34"/>
      <c r="UN54" s="34"/>
      <c r="UO54" s="34"/>
      <c r="UP54" s="34"/>
      <c r="UQ54" s="34"/>
      <c r="UR54" s="34"/>
      <c r="US54" s="34"/>
      <c r="UT54" s="34"/>
      <c r="UU54" s="34"/>
      <c r="UV54" s="34"/>
      <c r="UW54" s="34"/>
      <c r="UX54" s="34"/>
      <c r="UY54" s="34"/>
      <c r="UZ54" s="34"/>
      <c r="VA54" s="34"/>
      <c r="VB54" s="34"/>
      <c r="VC54" s="34"/>
      <c r="VD54" s="34"/>
      <c r="VE54" s="34"/>
      <c r="VF54" s="34"/>
      <c r="VG54" s="34"/>
      <c r="VH54" s="34"/>
      <c r="VI54" s="34"/>
      <c r="VJ54" s="34"/>
    </row>
    <row r="55" spans="1:582" ht="32">
      <c r="B55" s="311" t="s">
        <v>93</v>
      </c>
      <c r="C55" s="149" t="s">
        <v>45</v>
      </c>
      <c r="D55" s="240" t="s">
        <v>48</v>
      </c>
      <c r="E55" s="279">
        <f>IF(Depot_or_Route="depot",No_Vehicles,1)</f>
        <v>4</v>
      </c>
      <c r="F55" s="276" t="s">
        <v>36</v>
      </c>
      <c r="G55" s="215">
        <f>No_Vehicles</f>
        <v>4</v>
      </c>
      <c r="H55" s="215">
        <v>1</v>
      </c>
      <c r="I55" s="191" t="s">
        <v>262</v>
      </c>
      <c r="J55" s="109"/>
      <c r="N55" s="92"/>
      <c r="O55" s="92"/>
    </row>
    <row r="56" spans="1:582" ht="32">
      <c r="B56" s="312"/>
      <c r="C56" s="130" t="s">
        <v>219</v>
      </c>
      <c r="D56" s="229" t="s">
        <v>49</v>
      </c>
      <c r="E56" s="280">
        <f>IF(Depot_or_Route="depot",50000,495636)</f>
        <v>50000</v>
      </c>
      <c r="F56" s="233" t="s">
        <v>61</v>
      </c>
      <c r="G56" s="216">
        <v>50000</v>
      </c>
      <c r="H56" s="216">
        <v>495636</v>
      </c>
      <c r="I56" s="173" t="s">
        <v>226</v>
      </c>
      <c r="J56" s="73"/>
      <c r="N56" s="93"/>
      <c r="O56" s="94"/>
      <c r="P56" s="94"/>
    </row>
    <row r="57" spans="1:582" ht="16">
      <c r="B57" s="312"/>
      <c r="C57" s="130" t="s">
        <v>229</v>
      </c>
      <c r="D57" s="229" t="s">
        <v>144</v>
      </c>
      <c r="E57" s="281">
        <f>IF(Depot_or_Route="depot",17050,202811)</f>
        <v>17050</v>
      </c>
      <c r="F57" s="233" t="s">
        <v>61</v>
      </c>
      <c r="G57" s="217">
        <v>17050</v>
      </c>
      <c r="H57" s="216">
        <v>202811</v>
      </c>
      <c r="I57" s="173" t="s">
        <v>268</v>
      </c>
    </row>
    <row r="58" spans="1:582" ht="28">
      <c r="B58" s="312"/>
      <c r="C58" s="130" t="s">
        <v>145</v>
      </c>
      <c r="D58" s="229" t="s">
        <v>52</v>
      </c>
      <c r="E58" s="281">
        <f>IF(Depot_or_Route="depot",0,1500)</f>
        <v>0</v>
      </c>
      <c r="F58" s="233" t="s">
        <v>60</v>
      </c>
      <c r="G58" s="217">
        <v>0</v>
      </c>
      <c r="H58" s="216">
        <v>1500</v>
      </c>
      <c r="I58" s="182" t="s">
        <v>201</v>
      </c>
      <c r="J58" s="75"/>
    </row>
    <row r="59" spans="1:582" ht="16">
      <c r="B59" s="312"/>
      <c r="C59" s="130" t="s">
        <v>172</v>
      </c>
      <c r="D59" s="229" t="s">
        <v>213</v>
      </c>
      <c r="E59" s="282">
        <f>IF(Depot_or_Route="depot",70,325)</f>
        <v>70</v>
      </c>
      <c r="F59" s="233" t="s">
        <v>173</v>
      </c>
      <c r="G59" s="218">
        <v>70</v>
      </c>
      <c r="H59" s="218">
        <v>325</v>
      </c>
      <c r="I59" s="175" t="s">
        <v>272</v>
      </c>
      <c r="J59" s="100"/>
    </row>
    <row r="60" spans="1:582" ht="48">
      <c r="B60" s="312"/>
      <c r="C60" s="130" t="s">
        <v>205</v>
      </c>
      <c r="D60" s="229" t="s">
        <v>209</v>
      </c>
      <c r="E60" s="260">
        <f>E24*1.54</f>
        <v>203.28</v>
      </c>
      <c r="F60" s="233" t="s">
        <v>173</v>
      </c>
      <c r="G60" s="219" t="s">
        <v>255</v>
      </c>
      <c r="H60" s="137"/>
      <c r="I60" s="173" t="s">
        <v>207</v>
      </c>
      <c r="J60" s="75"/>
    </row>
    <row r="61" spans="1:582" ht="16">
      <c r="B61" s="312"/>
      <c r="C61" s="130" t="s">
        <v>214</v>
      </c>
      <c r="D61" s="229" t="s">
        <v>215</v>
      </c>
      <c r="E61" s="283">
        <f>EVSE_Peak_draw*No_EVSEs</f>
        <v>280</v>
      </c>
      <c r="F61" s="233" t="s">
        <v>173</v>
      </c>
      <c r="G61" s="220" t="s">
        <v>255</v>
      </c>
      <c r="H61" s="150"/>
      <c r="I61" s="173" t="s">
        <v>270</v>
      </c>
      <c r="J61" s="100"/>
    </row>
    <row r="62" spans="1:582" ht="64">
      <c r="B62" s="312"/>
      <c r="C62" s="130" t="s">
        <v>178</v>
      </c>
      <c r="D62" s="229" t="s">
        <v>180</v>
      </c>
      <c r="E62" s="284">
        <f>IF(Total_Peak_draw-Load_delta&gt;0,Demand_charge*(Total_Peak_draw-Load_delta),0)</f>
        <v>264.68400000000003</v>
      </c>
      <c r="F62" s="233" t="s">
        <v>181</v>
      </c>
      <c r="G62" s="221" t="s">
        <v>255</v>
      </c>
      <c r="H62" s="145"/>
      <c r="I62" s="173" t="s">
        <v>271</v>
      </c>
      <c r="J62" s="75"/>
    </row>
    <row r="63" spans="1:582" ht="16">
      <c r="B63" s="312"/>
      <c r="C63" s="130" t="s">
        <v>193</v>
      </c>
      <c r="D63" s="229" t="s">
        <v>194</v>
      </c>
      <c r="E63" s="285">
        <f>Monthly_kWh_Use/(Peak_draw*No_EVSEs*24*30.5)</f>
        <v>0.10516701284543327</v>
      </c>
      <c r="F63" s="233" t="s">
        <v>195</v>
      </c>
      <c r="G63" s="222" t="s">
        <v>255</v>
      </c>
      <c r="H63" s="145"/>
      <c r="I63" s="173" t="s">
        <v>210</v>
      </c>
      <c r="J63" s="75"/>
    </row>
    <row r="64" spans="1:582" ht="32">
      <c r="B64" s="312"/>
      <c r="C64" s="129" t="s">
        <v>79</v>
      </c>
      <c r="D64" s="241" t="s">
        <v>80</v>
      </c>
      <c r="E64" s="270">
        <f>Bus_Life</f>
        <v>12</v>
      </c>
      <c r="F64" s="233" t="s">
        <v>57</v>
      </c>
      <c r="G64" s="222" t="s">
        <v>255</v>
      </c>
      <c r="H64" s="126"/>
      <c r="I64" s="173" t="s">
        <v>174</v>
      </c>
      <c r="J64" s="79"/>
    </row>
    <row r="65" spans="1:582" ht="48">
      <c r="B65" s="312"/>
      <c r="C65" s="129" t="s">
        <v>77</v>
      </c>
      <c r="D65" s="241" t="s">
        <v>78</v>
      </c>
      <c r="E65" s="285">
        <v>0</v>
      </c>
      <c r="F65" s="233" t="s">
        <v>24</v>
      </c>
      <c r="G65" s="222" t="s">
        <v>255</v>
      </c>
      <c r="H65" s="151"/>
      <c r="I65" s="183" t="s">
        <v>269</v>
      </c>
      <c r="J65" s="172"/>
    </row>
    <row r="66" spans="1:582" s="101" customFormat="1" ht="49" thickBot="1">
      <c r="A66" s="34"/>
      <c r="B66" s="313"/>
      <c r="C66" s="152" t="s">
        <v>231</v>
      </c>
      <c r="D66" s="272" t="s">
        <v>230</v>
      </c>
      <c r="E66" s="286">
        <v>0.91400000000000003</v>
      </c>
      <c r="F66" s="256" t="s">
        <v>232</v>
      </c>
      <c r="G66" s="223">
        <v>0.91400000000000003</v>
      </c>
      <c r="H66" s="153"/>
      <c r="I66" s="192" t="s">
        <v>233</v>
      </c>
      <c r="J66" s="113"/>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c r="DI66" s="34"/>
      <c r="DJ66" s="34"/>
      <c r="DK66" s="34"/>
      <c r="DL66" s="34"/>
      <c r="DM66" s="34"/>
      <c r="DN66" s="34"/>
      <c r="DO66" s="34"/>
      <c r="DP66" s="34"/>
      <c r="DQ66" s="34"/>
      <c r="DR66" s="34"/>
      <c r="DS66" s="34"/>
      <c r="DT66" s="34"/>
      <c r="DU66" s="34"/>
      <c r="DV66" s="34"/>
      <c r="DW66" s="34"/>
      <c r="DX66" s="34"/>
      <c r="DY66" s="34"/>
      <c r="DZ66" s="34"/>
      <c r="EA66" s="34"/>
      <c r="EB66" s="34"/>
      <c r="EC66" s="34"/>
      <c r="ED66" s="34"/>
      <c r="EE66" s="34"/>
      <c r="EF66" s="34"/>
      <c r="EG66" s="34"/>
      <c r="EH66" s="34"/>
      <c r="EI66" s="34"/>
      <c r="EJ66" s="34"/>
      <c r="EK66" s="34"/>
      <c r="EL66" s="34"/>
      <c r="EM66" s="34"/>
      <c r="EN66" s="34"/>
      <c r="EO66" s="34"/>
      <c r="EP66" s="34"/>
      <c r="EQ66" s="34"/>
      <c r="ER66" s="34"/>
      <c r="ES66" s="34"/>
      <c r="ET66" s="34"/>
      <c r="EU66" s="34"/>
      <c r="EV66" s="34"/>
      <c r="EW66" s="34"/>
      <c r="EX66" s="34"/>
      <c r="EY66" s="34"/>
      <c r="EZ66" s="34"/>
      <c r="FA66" s="34"/>
      <c r="FB66" s="34"/>
      <c r="FC66" s="34"/>
      <c r="FD66" s="34"/>
      <c r="FE66" s="34"/>
      <c r="FF66" s="34"/>
      <c r="FG66" s="34"/>
      <c r="FH66" s="34"/>
      <c r="FI66" s="34"/>
      <c r="FJ66" s="34"/>
      <c r="FK66" s="34"/>
      <c r="FL66" s="34"/>
      <c r="FM66" s="34"/>
      <c r="FN66" s="34"/>
      <c r="FO66" s="34"/>
      <c r="FP66" s="34"/>
      <c r="FQ66" s="34"/>
      <c r="FR66" s="34"/>
      <c r="FS66" s="34"/>
      <c r="FT66" s="34"/>
      <c r="FU66" s="34"/>
      <c r="FV66" s="34"/>
      <c r="FW66" s="34"/>
      <c r="FX66" s="34"/>
      <c r="FY66" s="34"/>
      <c r="FZ66" s="34"/>
      <c r="GA66" s="34"/>
      <c r="GB66" s="34"/>
      <c r="GC66" s="34"/>
      <c r="GD66" s="34"/>
      <c r="GE66" s="34"/>
      <c r="GF66" s="34"/>
      <c r="GG66" s="34"/>
      <c r="GH66" s="34"/>
      <c r="GI66" s="34"/>
      <c r="GJ66" s="34"/>
      <c r="GK66" s="34"/>
      <c r="GL66" s="34"/>
      <c r="GM66" s="34"/>
      <c r="GN66" s="34"/>
      <c r="GO66" s="34"/>
      <c r="GP66" s="34"/>
      <c r="GQ66" s="34"/>
      <c r="GR66" s="34"/>
      <c r="GS66" s="34"/>
      <c r="GT66" s="34"/>
      <c r="GU66" s="34"/>
      <c r="GV66" s="34"/>
      <c r="GW66" s="34"/>
      <c r="GX66" s="34"/>
      <c r="GY66" s="34"/>
      <c r="GZ66" s="34"/>
      <c r="HA66" s="34"/>
      <c r="HB66" s="34"/>
      <c r="HC66" s="34"/>
      <c r="HD66" s="34"/>
      <c r="HE66" s="34"/>
      <c r="HF66" s="34"/>
      <c r="HG66" s="34"/>
      <c r="HH66" s="34"/>
      <c r="HI66" s="34"/>
      <c r="HJ66" s="34"/>
      <c r="HK66" s="34"/>
      <c r="HL66" s="34"/>
      <c r="HM66" s="34"/>
      <c r="HN66" s="34"/>
      <c r="HO66" s="34"/>
      <c r="HP66" s="34"/>
      <c r="HQ66" s="34"/>
      <c r="HR66" s="34"/>
      <c r="HS66" s="34"/>
      <c r="HT66" s="34"/>
      <c r="HU66" s="34"/>
      <c r="HV66" s="34"/>
      <c r="HW66" s="34"/>
      <c r="HX66" s="34"/>
      <c r="HY66" s="34"/>
      <c r="HZ66" s="34"/>
      <c r="IA66" s="34"/>
      <c r="IB66" s="34"/>
      <c r="IC66" s="34"/>
      <c r="ID66" s="34"/>
      <c r="IE66" s="34"/>
      <c r="IF66" s="34"/>
      <c r="IG66" s="34"/>
      <c r="IH66" s="34"/>
      <c r="II66" s="34"/>
      <c r="IJ66" s="34"/>
      <c r="IK66" s="34"/>
      <c r="IL66" s="34"/>
      <c r="IM66" s="34"/>
      <c r="IN66" s="34"/>
      <c r="IO66" s="34"/>
      <c r="IP66" s="34"/>
      <c r="IQ66" s="34"/>
      <c r="IR66" s="34"/>
      <c r="IS66" s="34"/>
      <c r="IT66" s="34"/>
      <c r="IU66" s="34"/>
      <c r="IV66" s="34"/>
      <c r="IW66" s="34"/>
      <c r="IX66" s="34"/>
      <c r="IY66" s="34"/>
      <c r="IZ66" s="34"/>
      <c r="JA66" s="34"/>
      <c r="JB66" s="34"/>
      <c r="JC66" s="34"/>
      <c r="JD66" s="34"/>
      <c r="JE66" s="34"/>
      <c r="JF66" s="34"/>
      <c r="JG66" s="34"/>
      <c r="JH66" s="34"/>
      <c r="JI66" s="34"/>
      <c r="JJ66" s="34"/>
      <c r="JK66" s="34"/>
      <c r="JL66" s="34"/>
      <c r="JM66" s="34"/>
      <c r="JN66" s="34"/>
      <c r="JO66" s="34"/>
      <c r="JP66" s="34"/>
      <c r="JQ66" s="34"/>
      <c r="JR66" s="34"/>
      <c r="JS66" s="34"/>
      <c r="JT66" s="34"/>
      <c r="JU66" s="34"/>
      <c r="JV66" s="34"/>
      <c r="JW66" s="34"/>
      <c r="JX66" s="34"/>
      <c r="JY66" s="34"/>
      <c r="JZ66" s="34"/>
      <c r="KA66" s="34"/>
      <c r="KB66" s="34"/>
      <c r="KC66" s="34"/>
      <c r="KD66" s="34"/>
      <c r="KE66" s="34"/>
      <c r="KF66" s="34"/>
      <c r="KG66" s="34"/>
      <c r="KH66" s="34"/>
      <c r="KI66" s="34"/>
      <c r="KJ66" s="34"/>
      <c r="KK66" s="34"/>
      <c r="KL66" s="34"/>
      <c r="KM66" s="34"/>
      <c r="KN66" s="34"/>
      <c r="KO66" s="34"/>
      <c r="KP66" s="34"/>
      <c r="KQ66" s="34"/>
      <c r="KR66" s="34"/>
      <c r="KS66" s="34"/>
      <c r="KT66" s="34"/>
      <c r="KU66" s="34"/>
      <c r="KV66" s="34"/>
      <c r="KW66" s="34"/>
      <c r="KX66" s="34"/>
      <c r="KY66" s="34"/>
      <c r="KZ66" s="34"/>
      <c r="LA66" s="34"/>
      <c r="LB66" s="34"/>
      <c r="LC66" s="34"/>
      <c r="LD66" s="34"/>
      <c r="LE66" s="34"/>
      <c r="LF66" s="34"/>
      <c r="LG66" s="34"/>
      <c r="LH66" s="34"/>
      <c r="LI66" s="34"/>
      <c r="LJ66" s="34"/>
      <c r="LK66" s="34"/>
      <c r="LL66" s="34"/>
      <c r="LM66" s="34"/>
      <c r="LN66" s="34"/>
      <c r="LO66" s="34"/>
      <c r="LP66" s="34"/>
      <c r="LQ66" s="34"/>
      <c r="LR66" s="34"/>
      <c r="LS66" s="34"/>
      <c r="LT66" s="34"/>
      <c r="LU66" s="34"/>
      <c r="LV66" s="34"/>
      <c r="LW66" s="34"/>
      <c r="LX66" s="34"/>
      <c r="LY66" s="34"/>
      <c r="LZ66" s="34"/>
      <c r="MA66" s="34"/>
      <c r="MB66" s="34"/>
      <c r="MC66" s="34"/>
      <c r="MD66" s="34"/>
      <c r="ME66" s="34"/>
      <c r="MF66" s="34"/>
      <c r="MG66" s="34"/>
      <c r="MH66" s="34"/>
      <c r="MI66" s="34"/>
      <c r="MJ66" s="34"/>
      <c r="MK66" s="34"/>
      <c r="ML66" s="34"/>
      <c r="MM66" s="34"/>
      <c r="MN66" s="34"/>
      <c r="MO66" s="34"/>
      <c r="MP66" s="34"/>
      <c r="MQ66" s="34"/>
      <c r="MR66" s="34"/>
      <c r="MS66" s="34"/>
      <c r="MT66" s="34"/>
      <c r="MU66" s="34"/>
      <c r="MV66" s="34"/>
      <c r="MW66" s="34"/>
      <c r="MX66" s="34"/>
      <c r="MY66" s="34"/>
      <c r="MZ66" s="34"/>
      <c r="NA66" s="34"/>
      <c r="NB66" s="34"/>
      <c r="NC66" s="34"/>
      <c r="ND66" s="34"/>
      <c r="NE66" s="34"/>
      <c r="NF66" s="34"/>
      <c r="NG66" s="34"/>
      <c r="NH66" s="34"/>
      <c r="NI66" s="34"/>
      <c r="NJ66" s="34"/>
      <c r="NK66" s="34"/>
      <c r="NL66" s="34"/>
      <c r="NM66" s="34"/>
      <c r="NN66" s="34"/>
      <c r="NO66" s="34"/>
      <c r="NP66" s="34"/>
      <c r="NQ66" s="34"/>
      <c r="NR66" s="34"/>
      <c r="NS66" s="34"/>
      <c r="NT66" s="34"/>
      <c r="NU66" s="34"/>
      <c r="NV66" s="34"/>
      <c r="NW66" s="34"/>
      <c r="NX66" s="34"/>
      <c r="NY66" s="34"/>
      <c r="NZ66" s="34"/>
      <c r="OA66" s="34"/>
      <c r="OB66" s="34"/>
      <c r="OC66" s="34"/>
      <c r="OD66" s="34"/>
      <c r="OE66" s="34"/>
      <c r="OF66" s="34"/>
      <c r="OG66" s="34"/>
      <c r="OH66" s="34"/>
      <c r="OI66" s="34"/>
      <c r="OJ66" s="34"/>
      <c r="OK66" s="34"/>
      <c r="OL66" s="34"/>
      <c r="OM66" s="34"/>
      <c r="ON66" s="34"/>
      <c r="OO66" s="34"/>
      <c r="OP66" s="34"/>
      <c r="OQ66" s="34"/>
      <c r="OR66" s="34"/>
      <c r="OS66" s="34"/>
      <c r="OT66" s="34"/>
      <c r="OU66" s="34"/>
      <c r="OV66" s="34"/>
      <c r="OW66" s="34"/>
      <c r="OX66" s="34"/>
      <c r="OY66" s="34"/>
      <c r="OZ66" s="34"/>
      <c r="PA66" s="34"/>
      <c r="PB66" s="34"/>
      <c r="PC66" s="34"/>
      <c r="PD66" s="34"/>
      <c r="PE66" s="34"/>
      <c r="PF66" s="34"/>
      <c r="PG66" s="34"/>
      <c r="PH66" s="34"/>
      <c r="PI66" s="34"/>
      <c r="PJ66" s="34"/>
      <c r="PK66" s="34"/>
      <c r="PL66" s="34"/>
      <c r="PM66" s="34"/>
      <c r="PN66" s="34"/>
      <c r="PO66" s="34"/>
      <c r="PP66" s="34"/>
      <c r="PQ66" s="34"/>
      <c r="PR66" s="34"/>
      <c r="PS66" s="34"/>
      <c r="PT66" s="34"/>
      <c r="PU66" s="34"/>
      <c r="PV66" s="34"/>
      <c r="PW66" s="34"/>
      <c r="PX66" s="34"/>
      <c r="PY66" s="34"/>
      <c r="PZ66" s="34"/>
      <c r="QA66" s="34"/>
      <c r="QB66" s="34"/>
      <c r="QC66" s="34"/>
      <c r="QD66" s="34"/>
      <c r="QE66" s="34"/>
      <c r="QF66" s="34"/>
      <c r="QG66" s="34"/>
      <c r="QH66" s="34"/>
      <c r="QI66" s="34"/>
      <c r="QJ66" s="34"/>
      <c r="QK66" s="34"/>
      <c r="QL66" s="34"/>
      <c r="QM66" s="34"/>
      <c r="QN66" s="34"/>
      <c r="QO66" s="34"/>
      <c r="QP66" s="34"/>
      <c r="QQ66" s="34"/>
      <c r="QR66" s="34"/>
      <c r="QS66" s="34"/>
      <c r="QT66" s="34"/>
      <c r="QU66" s="34"/>
      <c r="QV66" s="34"/>
      <c r="QW66" s="34"/>
      <c r="QX66" s="34"/>
      <c r="QY66" s="34"/>
      <c r="QZ66" s="34"/>
      <c r="RA66" s="34"/>
      <c r="RB66" s="34"/>
      <c r="RC66" s="34"/>
      <c r="RD66" s="34"/>
      <c r="RE66" s="34"/>
      <c r="RF66" s="34"/>
      <c r="RG66" s="34"/>
      <c r="RH66" s="34"/>
      <c r="RI66" s="34"/>
      <c r="RJ66" s="34"/>
      <c r="RK66" s="34"/>
      <c r="RL66" s="34"/>
      <c r="RM66" s="34"/>
      <c r="RN66" s="34"/>
      <c r="RO66" s="34"/>
      <c r="RP66" s="34"/>
      <c r="RQ66" s="34"/>
      <c r="RR66" s="34"/>
      <c r="RS66" s="34"/>
      <c r="RT66" s="34"/>
      <c r="RU66" s="34"/>
      <c r="RV66" s="34"/>
      <c r="RW66" s="34"/>
      <c r="RX66" s="34"/>
      <c r="RY66" s="34"/>
      <c r="RZ66" s="34"/>
      <c r="SA66" s="34"/>
      <c r="SB66" s="34"/>
      <c r="SC66" s="34"/>
      <c r="SD66" s="34"/>
      <c r="SE66" s="34"/>
      <c r="SF66" s="34"/>
      <c r="SG66" s="34"/>
      <c r="SH66" s="34"/>
      <c r="SI66" s="34"/>
      <c r="SJ66" s="34"/>
      <c r="SK66" s="34"/>
      <c r="SL66" s="34"/>
      <c r="SM66" s="34"/>
      <c r="SN66" s="34"/>
      <c r="SO66" s="34"/>
      <c r="SP66" s="34"/>
      <c r="SQ66" s="34"/>
      <c r="SR66" s="34"/>
      <c r="SS66" s="34"/>
      <c r="ST66" s="34"/>
      <c r="SU66" s="34"/>
      <c r="SV66" s="34"/>
      <c r="SW66" s="34"/>
      <c r="SX66" s="34"/>
      <c r="SY66" s="34"/>
      <c r="SZ66" s="34"/>
      <c r="TA66" s="34"/>
      <c r="TB66" s="34"/>
      <c r="TC66" s="34"/>
      <c r="TD66" s="34"/>
      <c r="TE66" s="34"/>
      <c r="TF66" s="34"/>
      <c r="TG66" s="34"/>
      <c r="TH66" s="34"/>
      <c r="TI66" s="34"/>
      <c r="TJ66" s="34"/>
      <c r="TK66" s="34"/>
      <c r="TL66" s="34"/>
      <c r="TM66" s="34"/>
      <c r="TN66" s="34"/>
      <c r="TO66" s="34"/>
      <c r="TP66" s="34"/>
      <c r="TQ66" s="34"/>
      <c r="TR66" s="34"/>
      <c r="TS66" s="34"/>
      <c r="TT66" s="34"/>
      <c r="TU66" s="34"/>
      <c r="TV66" s="34"/>
      <c r="TW66" s="34"/>
      <c r="TX66" s="34"/>
      <c r="TY66" s="34"/>
      <c r="TZ66" s="34"/>
      <c r="UA66" s="34"/>
      <c r="UB66" s="34"/>
      <c r="UC66" s="34"/>
      <c r="UD66" s="34"/>
      <c r="UE66" s="34"/>
      <c r="UF66" s="34"/>
      <c r="UG66" s="34"/>
      <c r="UH66" s="34"/>
      <c r="UI66" s="34"/>
      <c r="UJ66" s="34"/>
      <c r="UK66" s="34"/>
      <c r="UL66" s="34"/>
      <c r="UM66" s="34"/>
      <c r="UN66" s="34"/>
      <c r="UO66" s="34"/>
      <c r="UP66" s="34"/>
      <c r="UQ66" s="34"/>
      <c r="UR66" s="34"/>
      <c r="US66" s="34"/>
      <c r="UT66" s="34"/>
      <c r="UU66" s="34"/>
      <c r="UV66" s="34"/>
      <c r="UW66" s="34"/>
      <c r="UX66" s="34"/>
      <c r="UY66" s="34"/>
      <c r="UZ66" s="34"/>
      <c r="VA66" s="34"/>
      <c r="VB66" s="34"/>
      <c r="VC66" s="34"/>
      <c r="VD66" s="34"/>
      <c r="VE66" s="34"/>
      <c r="VF66" s="34"/>
      <c r="VG66" s="34"/>
      <c r="VH66" s="34"/>
      <c r="VI66" s="34"/>
      <c r="VJ66" s="34"/>
    </row>
    <row r="67" spans="1:582" ht="16">
      <c r="B67" s="308" t="s">
        <v>118</v>
      </c>
      <c r="C67" s="121" t="s">
        <v>175</v>
      </c>
      <c r="D67" s="273" t="s">
        <v>183</v>
      </c>
      <c r="E67" s="287">
        <v>12.5464</v>
      </c>
      <c r="F67" s="232" t="s">
        <v>169</v>
      </c>
      <c r="G67" s="224"/>
      <c r="H67" s="157"/>
      <c r="I67" s="185" t="s">
        <v>264</v>
      </c>
      <c r="J67" s="79"/>
    </row>
    <row r="68" spans="1:582" ht="28">
      <c r="B68" s="309"/>
      <c r="C68" s="76" t="s">
        <v>122</v>
      </c>
      <c r="D68" s="274" t="s">
        <v>123</v>
      </c>
      <c r="E68" s="288">
        <v>0.41730547699999998</v>
      </c>
      <c r="F68" s="233" t="s">
        <v>121</v>
      </c>
      <c r="G68" s="225">
        <v>0.41730547699999998</v>
      </c>
      <c r="H68" s="154"/>
      <c r="I68" s="182" t="s">
        <v>263</v>
      </c>
      <c r="J68" s="86"/>
    </row>
    <row r="69" spans="1:582" ht="16">
      <c r="B69" s="309"/>
      <c r="C69" s="76" t="s">
        <v>117</v>
      </c>
      <c r="D69" s="274" t="s">
        <v>120</v>
      </c>
      <c r="E69" s="289">
        <v>0</v>
      </c>
      <c r="F69" s="233" t="s">
        <v>119</v>
      </c>
      <c r="G69" s="199">
        <v>0</v>
      </c>
      <c r="H69" s="76"/>
      <c r="I69" s="173" t="s">
        <v>265</v>
      </c>
      <c r="J69" s="72"/>
    </row>
    <row r="70" spans="1:582" ht="16">
      <c r="B70" s="309"/>
      <c r="C70" s="76" t="s">
        <v>124</v>
      </c>
      <c r="D70" s="274" t="s">
        <v>126</v>
      </c>
      <c r="E70" s="284">
        <f>Annual_diesel_used*Kg_GHG_per_gal_Diesel*USD_per_kg_GHG</f>
        <v>0</v>
      </c>
      <c r="F70" s="277"/>
      <c r="G70" s="221" t="s">
        <v>255</v>
      </c>
      <c r="H70" s="145"/>
      <c r="I70" s="173" t="s">
        <v>128</v>
      </c>
      <c r="J70" s="72"/>
    </row>
    <row r="71" spans="1:582" ht="16">
      <c r="B71" s="309"/>
      <c r="C71" s="76" t="s">
        <v>125</v>
      </c>
      <c r="D71" s="274" t="s">
        <v>127</v>
      </c>
      <c r="E71" s="284">
        <f>Annual_kWh_Use*kg_GHG_per_kWh*USD_per_kg_GHG</f>
        <v>0</v>
      </c>
      <c r="F71" s="277"/>
      <c r="G71" s="221" t="s">
        <v>255</v>
      </c>
      <c r="H71" s="145"/>
      <c r="I71" s="173" t="s">
        <v>129</v>
      </c>
      <c r="N71" s="80"/>
    </row>
    <row r="72" spans="1:582" ht="17" thickBot="1">
      <c r="B72" s="310"/>
      <c r="C72" s="155" t="s">
        <v>130</v>
      </c>
      <c r="D72" s="275" t="s">
        <v>131</v>
      </c>
      <c r="E72" s="271">
        <f>GHG_diesel_cost-GHG_electricity_cost</f>
        <v>0</v>
      </c>
      <c r="F72" s="278"/>
      <c r="G72" s="226" t="s">
        <v>255</v>
      </c>
      <c r="H72" s="156"/>
      <c r="I72" s="176" t="s">
        <v>133</v>
      </c>
      <c r="N72" s="80"/>
    </row>
    <row r="75" spans="1:582" ht="16.5" customHeight="1">
      <c r="C75" s="111"/>
    </row>
    <row r="76" spans="1:582" ht="16.5" customHeight="1">
      <c r="C76" s="108"/>
      <c r="E76" s="111"/>
      <c r="F76" s="99"/>
    </row>
    <row r="77" spans="1:582" ht="16.5" customHeight="1">
      <c r="E77" s="111"/>
      <c r="I77" s="114"/>
    </row>
    <row r="78" spans="1:582" ht="16.5" customHeight="1">
      <c r="C78" s="112"/>
      <c r="I78" s="114"/>
    </row>
  </sheetData>
  <sheetProtection formatCells="0" formatColumns="0" formatRows="0" insertColumns="0" insertRows="0" insertHyperlinks="0" deleteColumns="0" deleteRows="0" sort="0" autoFilter="0" pivotTables="0"/>
  <dataConsolidate link="1"/>
  <mergeCells count="7">
    <mergeCell ref="B67:B72"/>
    <mergeCell ref="B55:B66"/>
    <mergeCell ref="C2:E2"/>
    <mergeCell ref="B10:B14"/>
    <mergeCell ref="B16:B26"/>
    <mergeCell ref="B8:I8"/>
    <mergeCell ref="B28:B53"/>
  </mergeCells>
  <dataValidations count="3">
    <dataValidation type="list" allowBlank="1" showInputMessage="1" showErrorMessage="1" sqref="E33" xr:uid="{F571619B-DF76-4D14-9B9A-4FD246E36DF0}">
      <formula1>"years,cycles"</formula1>
    </dataValidation>
    <dataValidation type="list" allowBlank="1" showInputMessage="1" showErrorMessage="1" sqref="E29" xr:uid="{631A0B7C-260B-4724-8360-D97145B2DC65}">
      <formula1>"depot,on-route"</formula1>
    </dataValidation>
    <dataValidation type="whole" allowBlank="1" showErrorMessage="1" errorTitle="Longevity Mismatch" error="Your expected battery life should not surpass the expected bus life (in cell E14)." sqref="E34" xr:uid="{F0C0B3F5-77F7-4DBC-95B8-20AC0F15D55F}">
      <formula1>0</formula1>
      <formula2>E14</formula2>
    </dataValidation>
  </dataValidations>
  <hyperlinks>
    <hyperlink ref="I58" r:id="rId1" xr:uid="{9D72B042-026C-4CC9-86EA-B622748759F8}"/>
    <hyperlink ref="I22" r:id="rId2" xr:uid="{C086CFC5-D06C-4786-9B4F-61357BBA484E}"/>
    <hyperlink ref="I18" r:id="rId3" xr:uid="{9A7DF158-DC68-4439-9B7B-3DCCE28227DF}"/>
    <hyperlink ref="I40" r:id="rId4" xr:uid="{20126264-AD32-459B-844F-1787BC0988BC}"/>
    <hyperlink ref="I68" r:id="rId5" display="https://www.bozeman.net/home/showdocument?id=5418" xr:uid="{524F4427-2977-4F69-A7FD-01CAF2093B20}"/>
  </hyperlinks>
  <pageMargins left="0.7" right="0.7" top="0.75" bottom="0.75" header="0.3" footer="0.3"/>
  <pageSetup orientation="landscape"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50"/>
  <sheetViews>
    <sheetView zoomScaleNormal="100" workbookViewId="0">
      <selection sqref="A1:C1"/>
    </sheetView>
  </sheetViews>
  <sheetFormatPr baseColWidth="10" defaultColWidth="13.6640625" defaultRowHeight="15"/>
  <cols>
    <col min="1" max="1" width="2.1640625" style="2" customWidth="1"/>
    <col min="2" max="2" width="29.6640625" style="2" customWidth="1"/>
    <col min="3" max="3" width="12.5" style="2" customWidth="1"/>
    <col min="4" max="16384" width="13.6640625" style="2"/>
  </cols>
  <sheetData>
    <row r="1" spans="1:25" s="3" customFormat="1">
      <c r="A1" s="338" t="s">
        <v>0</v>
      </c>
      <c r="B1" s="338"/>
      <c r="C1" s="338"/>
      <c r="D1" s="4">
        <v>0</v>
      </c>
      <c r="E1" s="4">
        <v>1</v>
      </c>
      <c r="F1" s="4">
        <v>2</v>
      </c>
      <c r="G1" s="4">
        <v>3</v>
      </c>
      <c r="H1" s="4">
        <v>4</v>
      </c>
      <c r="I1" s="4">
        <v>5</v>
      </c>
      <c r="J1" s="4">
        <v>6</v>
      </c>
      <c r="K1" s="4">
        <v>7</v>
      </c>
      <c r="L1" s="4">
        <v>8</v>
      </c>
      <c r="M1" s="4">
        <v>9</v>
      </c>
      <c r="N1" s="4">
        <v>10</v>
      </c>
      <c r="O1" s="4">
        <v>11</v>
      </c>
      <c r="P1" s="4">
        <v>12</v>
      </c>
      <c r="Q1" s="4">
        <v>13</v>
      </c>
      <c r="R1" s="4">
        <v>14</v>
      </c>
      <c r="S1" s="4">
        <v>15</v>
      </c>
      <c r="T1" s="4">
        <v>16</v>
      </c>
      <c r="U1" s="4">
        <v>17</v>
      </c>
      <c r="V1" s="4">
        <v>18</v>
      </c>
      <c r="W1" s="4">
        <v>19</v>
      </c>
      <c r="X1" s="4">
        <v>20</v>
      </c>
      <c r="Y1" s="4"/>
    </row>
    <row r="2" spans="1:25">
      <c r="A2" s="339" t="s">
        <v>1</v>
      </c>
      <c r="B2" s="339"/>
      <c r="C2" s="339"/>
      <c r="D2" s="5">
        <f t="shared" ref="D2:X2" si="0">IF(AND(D1&gt;0,D1&lt;Bus_Life),12,IF(OR(D1=0,D1=Bus_Life),6,0))</f>
        <v>6</v>
      </c>
      <c r="E2" s="5">
        <f t="shared" si="0"/>
        <v>12</v>
      </c>
      <c r="F2" s="5">
        <f t="shared" si="0"/>
        <v>12</v>
      </c>
      <c r="G2" s="5">
        <f t="shared" si="0"/>
        <v>12</v>
      </c>
      <c r="H2" s="5">
        <f t="shared" si="0"/>
        <v>12</v>
      </c>
      <c r="I2" s="5">
        <f t="shared" si="0"/>
        <v>12</v>
      </c>
      <c r="J2" s="5">
        <f t="shared" si="0"/>
        <v>12</v>
      </c>
      <c r="K2" s="5">
        <f t="shared" si="0"/>
        <v>12</v>
      </c>
      <c r="L2" s="5">
        <f t="shared" si="0"/>
        <v>12</v>
      </c>
      <c r="M2" s="5">
        <f t="shared" si="0"/>
        <v>12</v>
      </c>
      <c r="N2" s="5">
        <f t="shared" si="0"/>
        <v>12</v>
      </c>
      <c r="O2" s="5">
        <f t="shared" si="0"/>
        <v>12</v>
      </c>
      <c r="P2" s="5">
        <f t="shared" si="0"/>
        <v>6</v>
      </c>
      <c r="Q2" s="5">
        <f t="shared" si="0"/>
        <v>0</v>
      </c>
      <c r="R2" s="5">
        <f t="shared" si="0"/>
        <v>0</v>
      </c>
      <c r="S2" s="5">
        <f t="shared" si="0"/>
        <v>0</v>
      </c>
      <c r="T2" s="5">
        <f t="shared" si="0"/>
        <v>0</v>
      </c>
      <c r="U2" s="5">
        <f t="shared" si="0"/>
        <v>0</v>
      </c>
      <c r="V2" s="5">
        <f t="shared" si="0"/>
        <v>0</v>
      </c>
      <c r="W2" s="5">
        <f t="shared" si="0"/>
        <v>0</v>
      </c>
      <c r="X2" s="5">
        <f t="shared" si="0"/>
        <v>0</v>
      </c>
      <c r="Y2" s="5"/>
    </row>
    <row r="3" spans="1:25">
      <c r="A3" s="340" t="s">
        <v>59</v>
      </c>
      <c r="B3" s="339"/>
      <c r="C3" s="339"/>
      <c r="D3" s="5">
        <f t="shared" ref="D3:X3" si="1">IF(AND(D1&gt;0,D1&lt;EVSE_Life),12,IF(OR(D1=0,D1=EVSE_Life),6,0))</f>
        <v>6</v>
      </c>
      <c r="E3" s="5">
        <f>IF(AND(E1&gt;0,E1&lt;EVSE_Life),12,IF(OR(E1=0,E1=EVSE_Life),6,0))</f>
        <v>12</v>
      </c>
      <c r="F3" s="5">
        <f t="shared" si="1"/>
        <v>12</v>
      </c>
      <c r="G3" s="5">
        <f t="shared" si="1"/>
        <v>12</v>
      </c>
      <c r="H3" s="5">
        <f t="shared" si="1"/>
        <v>12</v>
      </c>
      <c r="I3" s="5">
        <f t="shared" si="1"/>
        <v>12</v>
      </c>
      <c r="J3" s="5">
        <f t="shared" si="1"/>
        <v>12</v>
      </c>
      <c r="K3" s="5">
        <f t="shared" si="1"/>
        <v>12</v>
      </c>
      <c r="L3" s="5">
        <f t="shared" si="1"/>
        <v>12</v>
      </c>
      <c r="M3" s="5">
        <f t="shared" si="1"/>
        <v>12</v>
      </c>
      <c r="N3" s="5">
        <f t="shared" si="1"/>
        <v>12</v>
      </c>
      <c r="O3" s="5">
        <f t="shared" si="1"/>
        <v>12</v>
      </c>
      <c r="P3" s="5">
        <f t="shared" si="1"/>
        <v>6</v>
      </c>
      <c r="Q3" s="5">
        <f t="shared" si="1"/>
        <v>0</v>
      </c>
      <c r="R3" s="5">
        <f t="shared" si="1"/>
        <v>0</v>
      </c>
      <c r="S3" s="5">
        <f t="shared" si="1"/>
        <v>0</v>
      </c>
      <c r="T3" s="5">
        <f t="shared" si="1"/>
        <v>0</v>
      </c>
      <c r="U3" s="5">
        <f t="shared" si="1"/>
        <v>0</v>
      </c>
      <c r="V3" s="5">
        <f t="shared" si="1"/>
        <v>0</v>
      </c>
      <c r="W3" s="5">
        <f t="shared" si="1"/>
        <v>0</v>
      </c>
      <c r="X3" s="5">
        <f t="shared" si="1"/>
        <v>0</v>
      </c>
      <c r="Y3" s="5"/>
    </row>
    <row r="4" spans="1:25">
      <c r="A4" s="340" t="s">
        <v>63</v>
      </c>
      <c r="B4" s="339"/>
      <c r="C4" s="339"/>
      <c r="D4" s="5">
        <f t="shared" ref="D4:X4" si="2">IF(AND(D1&gt;0,D1&lt;Battery_Life),12,IF(OR(D1=0,D1=Battery_Life),6,0))</f>
        <v>6</v>
      </c>
      <c r="E4" s="5">
        <f t="shared" si="2"/>
        <v>12</v>
      </c>
      <c r="F4" s="5">
        <f t="shared" si="2"/>
        <v>12</v>
      </c>
      <c r="G4" s="5">
        <f t="shared" si="2"/>
        <v>12</v>
      </c>
      <c r="H4" s="5">
        <f t="shared" si="2"/>
        <v>12</v>
      </c>
      <c r="I4" s="5">
        <f t="shared" si="2"/>
        <v>12</v>
      </c>
      <c r="J4" s="5">
        <f t="shared" si="2"/>
        <v>12</v>
      </c>
      <c r="K4" s="5">
        <f t="shared" si="2"/>
        <v>12</v>
      </c>
      <c r="L4" s="5">
        <f t="shared" si="2"/>
        <v>12</v>
      </c>
      <c r="M4" s="5">
        <f t="shared" si="2"/>
        <v>12</v>
      </c>
      <c r="N4" s="5">
        <f t="shared" si="2"/>
        <v>12</v>
      </c>
      <c r="O4" s="5">
        <f t="shared" si="2"/>
        <v>12</v>
      </c>
      <c r="P4" s="5">
        <f t="shared" si="2"/>
        <v>6</v>
      </c>
      <c r="Q4" s="5">
        <f t="shared" si="2"/>
        <v>0</v>
      </c>
      <c r="R4" s="5">
        <f t="shared" si="2"/>
        <v>0</v>
      </c>
      <c r="S4" s="5">
        <f t="shared" si="2"/>
        <v>0</v>
      </c>
      <c r="T4" s="5">
        <f t="shared" si="2"/>
        <v>0</v>
      </c>
      <c r="U4" s="5">
        <f t="shared" si="2"/>
        <v>0</v>
      </c>
      <c r="V4" s="5">
        <f t="shared" si="2"/>
        <v>0</v>
      </c>
      <c r="W4" s="5">
        <f t="shared" si="2"/>
        <v>0</v>
      </c>
      <c r="X4" s="5">
        <f t="shared" si="2"/>
        <v>0</v>
      </c>
      <c r="Y4" s="5"/>
    </row>
    <row r="5" spans="1:25">
      <c r="A5" s="341"/>
      <c r="B5" s="341"/>
      <c r="C5" s="341"/>
    </row>
    <row r="6" spans="1:25">
      <c r="A6" s="342" t="s">
        <v>2</v>
      </c>
      <c r="B6" s="342"/>
      <c r="C6" s="342"/>
    </row>
    <row r="7" spans="1:25">
      <c r="B7" s="345" t="s">
        <v>189</v>
      </c>
      <c r="C7" s="346"/>
      <c r="D7" s="7">
        <f>Inc_Cost*No_Vehicles</f>
        <v>1629232</v>
      </c>
    </row>
    <row r="8" spans="1:25">
      <c r="B8" s="347" t="s">
        <v>36</v>
      </c>
      <c r="C8" s="334"/>
      <c r="D8" s="8">
        <f>No_EVSEs*EVSE_Price</f>
        <v>200000</v>
      </c>
    </row>
    <row r="9" spans="1:25" s="25" customFormat="1">
      <c r="B9" s="52" t="s">
        <v>146</v>
      </c>
      <c r="C9" s="50"/>
      <c r="D9" s="51">
        <f>No_EVSEs*EVSE_Installation</f>
        <v>68200</v>
      </c>
    </row>
    <row r="10" spans="1:25" s="25" customFormat="1">
      <c r="B10" s="106" t="s">
        <v>218</v>
      </c>
      <c r="C10" s="104"/>
      <c r="D10" s="105">
        <f>Grant_amount</f>
        <v>1500000</v>
      </c>
    </row>
    <row r="11" spans="1:25">
      <c r="A11" s="1"/>
      <c r="B11" s="348" t="s">
        <v>147</v>
      </c>
      <c r="C11" s="348"/>
      <c r="D11" s="9">
        <f>SUM(D7:D9)-D10</f>
        <v>397432</v>
      </c>
    </row>
    <row r="12" spans="1:25">
      <c r="A12" s="341"/>
      <c r="B12" s="341"/>
      <c r="C12" s="341"/>
    </row>
    <row r="13" spans="1:25">
      <c r="A13" s="344" t="s">
        <v>142</v>
      </c>
      <c r="B13" s="344"/>
      <c r="C13" s="344"/>
    </row>
    <row r="14" spans="1:25" s="25" customFormat="1">
      <c r="A14" s="53"/>
      <c r="B14" s="54" t="s">
        <v>140</v>
      </c>
      <c r="C14" s="54"/>
      <c r="D14" s="55">
        <f t="shared" ref="D14:X14" si="3">IF(D1=Bus_Life,(Cost_Diesel_Bus*Diesel_Residual*No_Vehicles),0)</f>
        <v>0</v>
      </c>
      <c r="E14" s="55">
        <f t="shared" si="3"/>
        <v>0</v>
      </c>
      <c r="F14" s="55">
        <f t="shared" si="3"/>
        <v>0</v>
      </c>
      <c r="G14" s="55">
        <f t="shared" si="3"/>
        <v>0</v>
      </c>
      <c r="H14" s="55">
        <f t="shared" si="3"/>
        <v>0</v>
      </c>
      <c r="I14" s="55">
        <f t="shared" si="3"/>
        <v>0</v>
      </c>
      <c r="J14" s="55">
        <f t="shared" si="3"/>
        <v>0</v>
      </c>
      <c r="K14" s="55">
        <f t="shared" si="3"/>
        <v>0</v>
      </c>
      <c r="L14" s="55">
        <f t="shared" si="3"/>
        <v>0</v>
      </c>
      <c r="M14" s="55">
        <f t="shared" si="3"/>
        <v>0</v>
      </c>
      <c r="N14" s="55">
        <f t="shared" si="3"/>
        <v>0</v>
      </c>
      <c r="O14" s="55">
        <f t="shared" si="3"/>
        <v>0</v>
      </c>
      <c r="P14" s="55">
        <f t="shared" si="3"/>
        <v>288000</v>
      </c>
      <c r="Q14" s="55">
        <f t="shared" si="3"/>
        <v>0</v>
      </c>
      <c r="R14" s="55">
        <f t="shared" si="3"/>
        <v>0</v>
      </c>
      <c r="S14" s="55">
        <f t="shared" si="3"/>
        <v>0</v>
      </c>
      <c r="T14" s="55">
        <f t="shared" si="3"/>
        <v>0</v>
      </c>
      <c r="U14" s="55">
        <f t="shared" si="3"/>
        <v>0</v>
      </c>
      <c r="V14" s="55">
        <f t="shared" si="3"/>
        <v>0</v>
      </c>
      <c r="W14" s="55">
        <f t="shared" si="3"/>
        <v>0</v>
      </c>
      <c r="X14" s="55">
        <f t="shared" si="3"/>
        <v>0</v>
      </c>
    </row>
    <row r="15" spans="1:25" s="25" customFormat="1">
      <c r="A15" s="53"/>
      <c r="B15" s="53" t="s">
        <v>141</v>
      </c>
      <c r="C15" s="53"/>
      <c r="D15" s="49">
        <f t="shared" ref="D15:X15" si="4">IF(D1=Bus_Life,((Price_Electric_Bus-Battery_Cost)*EB_Residual*No_Vehicles),0)</f>
        <v>0</v>
      </c>
      <c r="E15" s="49">
        <f t="shared" si="4"/>
        <v>0</v>
      </c>
      <c r="F15" s="49">
        <f t="shared" si="4"/>
        <v>0</v>
      </c>
      <c r="G15" s="49">
        <f t="shared" si="4"/>
        <v>0</v>
      </c>
      <c r="H15" s="49">
        <f t="shared" si="4"/>
        <v>0</v>
      </c>
      <c r="I15" s="49">
        <f t="shared" si="4"/>
        <v>0</v>
      </c>
      <c r="J15" s="49">
        <f t="shared" si="4"/>
        <v>0</v>
      </c>
      <c r="K15" s="49">
        <f t="shared" si="4"/>
        <v>0</v>
      </c>
      <c r="L15" s="49">
        <f t="shared" si="4"/>
        <v>0</v>
      </c>
      <c r="M15" s="49">
        <f t="shared" si="4"/>
        <v>0</v>
      </c>
      <c r="N15" s="49">
        <f t="shared" si="4"/>
        <v>0</v>
      </c>
      <c r="O15" s="49">
        <f t="shared" si="4"/>
        <v>0</v>
      </c>
      <c r="P15" s="49">
        <f t="shared" si="4"/>
        <v>503532.6</v>
      </c>
      <c r="Q15" s="49">
        <f t="shared" si="4"/>
        <v>0</v>
      </c>
      <c r="R15" s="49">
        <f t="shared" si="4"/>
        <v>0</v>
      </c>
      <c r="S15" s="49">
        <f t="shared" si="4"/>
        <v>0</v>
      </c>
      <c r="T15" s="49">
        <f t="shared" si="4"/>
        <v>0</v>
      </c>
      <c r="U15" s="49">
        <f t="shared" si="4"/>
        <v>0</v>
      </c>
      <c r="V15" s="49">
        <f t="shared" si="4"/>
        <v>0</v>
      </c>
      <c r="W15" s="49">
        <f t="shared" si="4"/>
        <v>0</v>
      </c>
      <c r="X15" s="49">
        <f t="shared" si="4"/>
        <v>0</v>
      </c>
    </row>
    <row r="16" spans="1:25">
      <c r="B16" s="349" t="s">
        <v>35</v>
      </c>
      <c r="C16" s="350"/>
      <c r="D16" s="10">
        <f t="shared" ref="D16:X16" si="5">IF(OR(D1=Battery_Life,(AND(D1=Bus_Life,D1&lt;Battery_Life))),Battery_Salvage*No_Vehicles,0)</f>
        <v>0</v>
      </c>
      <c r="E16" s="10">
        <f t="shared" si="5"/>
        <v>0</v>
      </c>
      <c r="F16" s="10">
        <f t="shared" si="5"/>
        <v>0</v>
      </c>
      <c r="G16" s="10">
        <f t="shared" si="5"/>
        <v>0</v>
      </c>
      <c r="H16" s="10">
        <f t="shared" si="5"/>
        <v>0</v>
      </c>
      <c r="I16" s="10">
        <f t="shared" si="5"/>
        <v>0</v>
      </c>
      <c r="J16" s="10">
        <f t="shared" si="5"/>
        <v>0</v>
      </c>
      <c r="K16" s="10">
        <f t="shared" si="5"/>
        <v>0</v>
      </c>
      <c r="L16" s="10">
        <f t="shared" si="5"/>
        <v>0</v>
      </c>
      <c r="M16" s="10">
        <f t="shared" si="5"/>
        <v>0</v>
      </c>
      <c r="N16" s="10">
        <f t="shared" si="5"/>
        <v>0</v>
      </c>
      <c r="O16" s="10">
        <f t="shared" si="5"/>
        <v>0</v>
      </c>
      <c r="P16" s="10">
        <f t="shared" si="5"/>
        <v>1372.164076433115</v>
      </c>
      <c r="Q16" s="10">
        <f t="shared" si="5"/>
        <v>0</v>
      </c>
      <c r="R16" s="10">
        <f t="shared" si="5"/>
        <v>0</v>
      </c>
      <c r="S16" s="10">
        <f t="shared" si="5"/>
        <v>0</v>
      </c>
      <c r="T16" s="10">
        <f t="shared" si="5"/>
        <v>0</v>
      </c>
      <c r="U16" s="10">
        <f t="shared" si="5"/>
        <v>0</v>
      </c>
      <c r="V16" s="10">
        <f t="shared" si="5"/>
        <v>0</v>
      </c>
      <c r="W16" s="10">
        <f t="shared" si="5"/>
        <v>0</v>
      </c>
      <c r="X16" s="10">
        <f t="shared" si="5"/>
        <v>0</v>
      </c>
    </row>
    <row r="17" spans="1:28" s="29" customFormat="1">
      <c r="B17" s="56" t="s">
        <v>154</v>
      </c>
      <c r="C17" s="31"/>
      <c r="D17" s="119">
        <f t="shared" ref="D17:X17" si="6">IF(AND(D1=Bus_Life,Battery_Life&lt;Bus_Life),((Battery_Salvage-(Battery_Salvage*Battery_Cost_Redux*(Bus_Life-Battery_Life)))*No_Vehicles),0)</f>
        <v>0</v>
      </c>
      <c r="E17" s="119">
        <f t="shared" si="6"/>
        <v>0</v>
      </c>
      <c r="F17" s="119">
        <f t="shared" si="6"/>
        <v>0</v>
      </c>
      <c r="G17" s="119">
        <f t="shared" si="6"/>
        <v>0</v>
      </c>
      <c r="H17" s="119">
        <f t="shared" si="6"/>
        <v>0</v>
      </c>
      <c r="I17" s="119">
        <f t="shared" si="6"/>
        <v>0</v>
      </c>
      <c r="J17" s="119">
        <f t="shared" si="6"/>
        <v>0</v>
      </c>
      <c r="K17" s="119">
        <f t="shared" si="6"/>
        <v>0</v>
      </c>
      <c r="L17" s="119">
        <f t="shared" si="6"/>
        <v>0</v>
      </c>
      <c r="M17" s="119">
        <f t="shared" si="6"/>
        <v>0</v>
      </c>
      <c r="N17" s="119">
        <f t="shared" si="6"/>
        <v>0</v>
      </c>
      <c r="O17" s="119">
        <f t="shared" si="6"/>
        <v>0</v>
      </c>
      <c r="P17" s="119">
        <f t="shared" si="6"/>
        <v>0</v>
      </c>
      <c r="Q17" s="119">
        <f t="shared" si="6"/>
        <v>0</v>
      </c>
      <c r="R17" s="119">
        <f t="shared" si="6"/>
        <v>0</v>
      </c>
      <c r="S17" s="119">
        <f t="shared" si="6"/>
        <v>0</v>
      </c>
      <c r="T17" s="119">
        <f t="shared" si="6"/>
        <v>0</v>
      </c>
      <c r="U17" s="119">
        <f t="shared" si="6"/>
        <v>0</v>
      </c>
      <c r="V17" s="119">
        <f t="shared" si="6"/>
        <v>0</v>
      </c>
      <c r="W17" s="119">
        <f t="shared" si="6"/>
        <v>0</v>
      </c>
      <c r="X17" s="119">
        <f t="shared" si="6"/>
        <v>0</v>
      </c>
    </row>
    <row r="18" spans="1:28" s="25" customFormat="1">
      <c r="B18" s="28" t="s">
        <v>77</v>
      </c>
      <c r="C18" s="26"/>
      <c r="D18" s="27">
        <f t="shared" ref="D18:X18" si="7">IF(D1=EVSE_Life,((EVSE_Price*No_EVSEs)*EVSE_Salvage_Value),0)</f>
        <v>0</v>
      </c>
      <c r="E18" s="27">
        <f t="shared" si="7"/>
        <v>0</v>
      </c>
      <c r="F18" s="27">
        <f t="shared" si="7"/>
        <v>0</v>
      </c>
      <c r="G18" s="27">
        <f t="shared" si="7"/>
        <v>0</v>
      </c>
      <c r="H18" s="27">
        <f t="shared" si="7"/>
        <v>0</v>
      </c>
      <c r="I18" s="27">
        <f t="shared" si="7"/>
        <v>0</v>
      </c>
      <c r="J18" s="27">
        <f t="shared" si="7"/>
        <v>0</v>
      </c>
      <c r="K18" s="27">
        <f t="shared" si="7"/>
        <v>0</v>
      </c>
      <c r="L18" s="27">
        <f t="shared" si="7"/>
        <v>0</v>
      </c>
      <c r="M18" s="27">
        <f t="shared" si="7"/>
        <v>0</v>
      </c>
      <c r="N18" s="27">
        <f t="shared" si="7"/>
        <v>0</v>
      </c>
      <c r="O18" s="27">
        <f t="shared" si="7"/>
        <v>0</v>
      </c>
      <c r="P18" s="27">
        <f t="shared" si="7"/>
        <v>0</v>
      </c>
      <c r="Q18" s="27">
        <f t="shared" si="7"/>
        <v>0</v>
      </c>
      <c r="R18" s="27">
        <f t="shared" si="7"/>
        <v>0</v>
      </c>
      <c r="S18" s="27">
        <f t="shared" si="7"/>
        <v>0</v>
      </c>
      <c r="T18" s="27">
        <f t="shared" si="7"/>
        <v>0</v>
      </c>
      <c r="U18" s="27">
        <f t="shared" si="7"/>
        <v>0</v>
      </c>
      <c r="V18" s="27">
        <f t="shared" si="7"/>
        <v>0</v>
      </c>
      <c r="W18" s="27">
        <f t="shared" si="7"/>
        <v>0</v>
      </c>
      <c r="X18" s="27">
        <f t="shared" si="7"/>
        <v>0</v>
      </c>
    </row>
    <row r="19" spans="1:28">
      <c r="B19" s="349" t="s">
        <v>37</v>
      </c>
      <c r="C19" s="350"/>
      <c r="D19" s="10">
        <f t="shared" ref="D19:X19" si="8">IF(AND(D1=Battery_Life,Battery_Life&lt;Bus_Life),(No_Vehicles*Battery_Replacement),0)</f>
        <v>0</v>
      </c>
      <c r="E19" s="10">
        <f t="shared" si="8"/>
        <v>0</v>
      </c>
      <c r="F19" s="10">
        <f t="shared" si="8"/>
        <v>0</v>
      </c>
      <c r="G19" s="10">
        <f t="shared" si="8"/>
        <v>0</v>
      </c>
      <c r="H19" s="10">
        <f t="shared" si="8"/>
        <v>0</v>
      </c>
      <c r="I19" s="10">
        <f t="shared" si="8"/>
        <v>0</v>
      </c>
      <c r="J19" s="10">
        <f t="shared" si="8"/>
        <v>0</v>
      </c>
      <c r="K19" s="10">
        <f t="shared" si="8"/>
        <v>0</v>
      </c>
      <c r="L19" s="10">
        <f t="shared" si="8"/>
        <v>0</v>
      </c>
      <c r="M19" s="10">
        <f t="shared" si="8"/>
        <v>0</v>
      </c>
      <c r="N19" s="10">
        <f t="shared" si="8"/>
        <v>0</v>
      </c>
      <c r="O19" s="10">
        <f t="shared" si="8"/>
        <v>0</v>
      </c>
      <c r="P19" s="10">
        <f t="shared" si="8"/>
        <v>0</v>
      </c>
      <c r="Q19" s="10">
        <f t="shared" si="8"/>
        <v>0</v>
      </c>
      <c r="R19" s="10">
        <f t="shared" si="8"/>
        <v>0</v>
      </c>
      <c r="S19" s="10">
        <f t="shared" si="8"/>
        <v>0</v>
      </c>
      <c r="T19" s="10">
        <f t="shared" si="8"/>
        <v>0</v>
      </c>
      <c r="U19" s="10">
        <f t="shared" si="8"/>
        <v>0</v>
      </c>
      <c r="V19" s="10">
        <f t="shared" si="8"/>
        <v>0</v>
      </c>
      <c r="W19" s="10">
        <f t="shared" si="8"/>
        <v>0</v>
      </c>
      <c r="X19" s="10">
        <f t="shared" si="8"/>
        <v>0</v>
      </c>
    </row>
    <row r="20" spans="1:28">
      <c r="A20" s="341"/>
      <c r="B20" s="341"/>
      <c r="C20" s="341"/>
    </row>
    <row r="21" spans="1:28">
      <c r="A21" s="343" t="s">
        <v>8</v>
      </c>
      <c r="B21" s="343"/>
      <c r="C21" s="343"/>
      <c r="Y21" s="57"/>
      <c r="AA21" s="59"/>
      <c r="AB21" s="59"/>
    </row>
    <row r="22" spans="1:28">
      <c r="B22" s="351" t="s">
        <v>31</v>
      </c>
      <c r="C22" s="352"/>
      <c r="D22" s="11">
        <f>Electricity_Price</f>
        <v>0.1275</v>
      </c>
      <c r="E22" s="11">
        <f t="shared" ref="E22:X22" si="9">D22+(D22*Electricity_Inflation)</f>
        <v>0.1273725</v>
      </c>
      <c r="F22" s="11">
        <f t="shared" si="9"/>
        <v>0.1272451275</v>
      </c>
      <c r="G22" s="11">
        <f t="shared" si="9"/>
        <v>0.12711788237249999</v>
      </c>
      <c r="H22" s="11">
        <f t="shared" si="9"/>
        <v>0.1269907644901275</v>
      </c>
      <c r="I22" s="11">
        <f>H22+(H22*Electricity_Inflation)</f>
        <v>0.12686377372563737</v>
      </c>
      <c r="J22" s="11">
        <f t="shared" si="9"/>
        <v>0.12673690995191172</v>
      </c>
      <c r="K22" s="11">
        <f t="shared" si="9"/>
        <v>0.12661017304195982</v>
      </c>
      <c r="L22" s="11">
        <f t="shared" si="9"/>
        <v>0.12648356286891785</v>
      </c>
      <c r="M22" s="11">
        <f t="shared" si="9"/>
        <v>0.12635707930604892</v>
      </c>
      <c r="N22" s="11">
        <f t="shared" si="9"/>
        <v>0.12623072222674286</v>
      </c>
      <c r="O22" s="11">
        <f t="shared" si="9"/>
        <v>0.12610449150451611</v>
      </c>
      <c r="P22" s="11">
        <f t="shared" si="9"/>
        <v>0.12597838701301159</v>
      </c>
      <c r="Q22" s="11">
        <f t="shared" si="9"/>
        <v>0.12585240862599859</v>
      </c>
      <c r="R22" s="11">
        <f t="shared" si="9"/>
        <v>0.12572655621737258</v>
      </c>
      <c r="S22" s="11">
        <f t="shared" si="9"/>
        <v>0.12560082966115521</v>
      </c>
      <c r="T22" s="11">
        <f t="shared" si="9"/>
        <v>0.12547522883149406</v>
      </c>
      <c r="U22" s="11">
        <f t="shared" si="9"/>
        <v>0.12534975360266257</v>
      </c>
      <c r="V22" s="11">
        <f t="shared" si="9"/>
        <v>0.12522440384905992</v>
      </c>
      <c r="W22" s="11">
        <f t="shared" si="9"/>
        <v>0.12509917944521085</v>
      </c>
      <c r="X22" s="11">
        <f t="shared" si="9"/>
        <v>0.12497408026576563</v>
      </c>
      <c r="Y22" s="6"/>
      <c r="AA22" s="59"/>
      <c r="AB22" s="61"/>
    </row>
    <row r="23" spans="1:28" s="25" customFormat="1">
      <c r="B23" s="84" t="s">
        <v>182</v>
      </c>
      <c r="C23" s="78"/>
      <c r="D23" s="47">
        <f t="shared" ref="D23:X23" si="10">Monthly_demand_charge</f>
        <v>264.68400000000003</v>
      </c>
      <c r="E23" s="47">
        <f t="shared" si="10"/>
        <v>264.68400000000003</v>
      </c>
      <c r="F23" s="47">
        <f t="shared" si="10"/>
        <v>264.68400000000003</v>
      </c>
      <c r="G23" s="47">
        <f t="shared" si="10"/>
        <v>264.68400000000003</v>
      </c>
      <c r="H23" s="47">
        <f t="shared" si="10"/>
        <v>264.68400000000003</v>
      </c>
      <c r="I23" s="47">
        <f t="shared" si="10"/>
        <v>264.68400000000003</v>
      </c>
      <c r="J23" s="47">
        <f t="shared" si="10"/>
        <v>264.68400000000003</v>
      </c>
      <c r="K23" s="47">
        <f t="shared" si="10"/>
        <v>264.68400000000003</v>
      </c>
      <c r="L23" s="47">
        <f t="shared" si="10"/>
        <v>264.68400000000003</v>
      </c>
      <c r="M23" s="47">
        <f t="shared" si="10"/>
        <v>264.68400000000003</v>
      </c>
      <c r="N23" s="47">
        <f t="shared" si="10"/>
        <v>264.68400000000003</v>
      </c>
      <c r="O23" s="47">
        <f t="shared" si="10"/>
        <v>264.68400000000003</v>
      </c>
      <c r="P23" s="47">
        <f t="shared" si="10"/>
        <v>264.68400000000003</v>
      </c>
      <c r="Q23" s="47">
        <f t="shared" si="10"/>
        <v>264.68400000000003</v>
      </c>
      <c r="R23" s="47">
        <f t="shared" si="10"/>
        <v>264.68400000000003</v>
      </c>
      <c r="S23" s="47">
        <f t="shared" si="10"/>
        <v>264.68400000000003</v>
      </c>
      <c r="T23" s="47">
        <f t="shared" si="10"/>
        <v>264.68400000000003</v>
      </c>
      <c r="U23" s="47">
        <f t="shared" si="10"/>
        <v>264.68400000000003</v>
      </c>
      <c r="V23" s="47">
        <f t="shared" si="10"/>
        <v>264.68400000000003</v>
      </c>
      <c r="W23" s="47">
        <f t="shared" si="10"/>
        <v>264.68400000000003</v>
      </c>
      <c r="X23" s="47">
        <f t="shared" si="10"/>
        <v>264.68400000000003</v>
      </c>
      <c r="Y23" s="81"/>
      <c r="AA23" s="82"/>
      <c r="AB23" s="83"/>
    </row>
    <row r="24" spans="1:28" s="22" customFormat="1">
      <c r="B24" s="356" t="s">
        <v>176</v>
      </c>
      <c r="C24" s="357"/>
      <c r="D24" s="11">
        <f>Diesel_Price</f>
        <v>3.18</v>
      </c>
      <c r="E24" s="11">
        <f t="shared" ref="E24:X24" si="11">D24+(D24*Diesel_Inflation)</f>
        <v>3.2022600000000003</v>
      </c>
      <c r="F24" s="11">
        <f t="shared" si="11"/>
        <v>3.2246758200000003</v>
      </c>
      <c r="G24" s="11">
        <f t="shared" si="11"/>
        <v>3.2472485507400002</v>
      </c>
      <c r="H24" s="11">
        <f t="shared" si="11"/>
        <v>3.2699792905951801</v>
      </c>
      <c r="I24" s="11">
        <f t="shared" si="11"/>
        <v>3.2928691456293464</v>
      </c>
      <c r="J24" s="11">
        <f t="shared" si="11"/>
        <v>3.3159192296487516</v>
      </c>
      <c r="K24" s="11">
        <f t="shared" si="11"/>
        <v>3.339130664256293</v>
      </c>
      <c r="L24" s="11">
        <f t="shared" si="11"/>
        <v>3.362504578906087</v>
      </c>
      <c r="M24" s="11">
        <f t="shared" si="11"/>
        <v>3.3860421109584298</v>
      </c>
      <c r="N24" s="11">
        <f t="shared" si="11"/>
        <v>3.4097444057351387</v>
      </c>
      <c r="O24" s="11">
        <f t="shared" si="11"/>
        <v>3.4336126165752847</v>
      </c>
      <c r="P24" s="11">
        <f t="shared" si="11"/>
        <v>3.4576479048913118</v>
      </c>
      <c r="Q24" s="11">
        <f t="shared" si="11"/>
        <v>3.4818514402255509</v>
      </c>
      <c r="R24" s="11">
        <f t="shared" si="11"/>
        <v>3.5062244003071297</v>
      </c>
      <c r="S24" s="11">
        <f t="shared" si="11"/>
        <v>3.5307679711092796</v>
      </c>
      <c r="T24" s="11">
        <f t="shared" si="11"/>
        <v>3.5554833469070446</v>
      </c>
      <c r="U24" s="11">
        <f t="shared" si="11"/>
        <v>3.5803717303353939</v>
      </c>
      <c r="V24" s="11">
        <f t="shared" si="11"/>
        <v>3.6054343324477416</v>
      </c>
      <c r="W24" s="11">
        <f t="shared" si="11"/>
        <v>3.630672372774876</v>
      </c>
      <c r="X24" s="11">
        <f t="shared" si="11"/>
        <v>3.6560870793843003</v>
      </c>
      <c r="Y24" s="23"/>
      <c r="AA24" s="60"/>
      <c r="AB24" s="58"/>
    </row>
    <row r="25" spans="1:28" s="22" customFormat="1">
      <c r="B25" s="353" t="s">
        <v>32</v>
      </c>
      <c r="C25" s="354"/>
      <c r="D25" s="24">
        <f>IF(EB_Maint_Warranty&gt;=Model!D1,(No_Vehicles*EB_Maint_costs_warranty*Annual_mi*(Model!D2/12)),(No_Vehicles*EB_Maint_Costs*Annual_mi*(Model!D2/12)))</f>
        <v>11813.039999999999</v>
      </c>
      <c r="E25" s="24">
        <f>IF(EB_Maint_Warranty&gt;=Model!E1,(No_Vehicles*EB_Maint_costs_warranty*Annual_mi*(Model!E2/12)),(No_Vehicles*EB_Maint_Costs*Annual_mi*(Model!E2/12)))</f>
        <v>23626.079999999998</v>
      </c>
      <c r="F25" s="24">
        <f>IF(EB_Maint_Warranty&gt;=Model!F1,(No_Vehicles*EB_Maint_costs_warranty*Annual_mi*(Model!F2/12)),(No_Vehicles*EB_Maint_Costs*Annual_mi*(Model!F2/12)))</f>
        <v>84003.839999999997</v>
      </c>
      <c r="G25" s="24">
        <f>IF(EB_Maint_Warranty&gt;=Model!G1,(No_Vehicles*EB_Maint_costs_warranty*Annual_mi*(Model!G2/12)),(No_Vehicles*EB_Maint_Costs*Annual_mi*(Model!G2/12)))</f>
        <v>84003.839999999997</v>
      </c>
      <c r="H25" s="24">
        <f>IF(EB_Maint_Warranty&gt;=Model!H1,(No_Vehicles*EB_Maint_costs_warranty*Annual_mi*(Model!H2/12)),(No_Vehicles*EB_Maint_Costs*Annual_mi*(Model!H2/12)))</f>
        <v>84003.839999999997</v>
      </c>
      <c r="I25" s="24">
        <f>IF(EB_Maint_Warranty&gt;=Model!I1,(No_Vehicles*EB_Maint_costs_warranty*Annual_mi*(Model!I2/12)),(No_Vehicles*EB_Maint_Costs*Annual_mi*(Model!I2/12)))</f>
        <v>84003.839999999997</v>
      </c>
      <c r="J25" s="24">
        <f>IF(EB_Maint_Warranty&gt;=Model!J1,(No_Vehicles*EB_Maint_costs_warranty*Annual_mi*(Model!J2/12)),(No_Vehicles*EB_Maint_Costs*Annual_mi*(Model!J2/12)))</f>
        <v>84003.839999999997</v>
      </c>
      <c r="K25" s="24">
        <f>IF(EB_Maint_Warranty&gt;=Model!K1,(No_Vehicles*EB_Maint_costs_warranty*Annual_mi*(Model!K2/12)),(No_Vehicles*EB_Maint_Costs*Annual_mi*(Model!K2/12)))</f>
        <v>84003.839999999997</v>
      </c>
      <c r="L25" s="24">
        <f>IF(EB_Maint_Warranty&gt;=Model!L1,(No_Vehicles*EB_Maint_costs_warranty*Annual_mi*(Model!L2/12)),(No_Vehicles*EB_Maint_Costs*Annual_mi*(Model!L2/12)))</f>
        <v>84003.839999999997</v>
      </c>
      <c r="M25" s="24">
        <f>IF(EB_Maint_Warranty&gt;=Model!M1,(No_Vehicles*EB_Maint_costs_warranty*Annual_mi*(Model!M2/12)),(No_Vehicles*EB_Maint_Costs*Annual_mi*(Model!M2/12)))</f>
        <v>84003.839999999997</v>
      </c>
      <c r="N25" s="24">
        <f>IF(EB_Maint_Warranty&gt;=Model!N1,(No_Vehicles*EB_Maint_costs_warranty*Annual_mi*(Model!N2/12)),(No_Vehicles*EB_Maint_Costs*Annual_mi*(Model!N2/12)))</f>
        <v>84003.839999999997</v>
      </c>
      <c r="O25" s="24">
        <f>IF(EB_Maint_Warranty&gt;=Model!O1,(No_Vehicles*EB_Maint_costs_warranty*Annual_mi*(Model!O2/12)),(No_Vehicles*EB_Maint_Costs*Annual_mi*(Model!O2/12)))</f>
        <v>84003.839999999997</v>
      </c>
      <c r="P25" s="24">
        <f>IF(EB_Maint_Warranty&gt;=Model!P1,(No_Vehicles*EB_Maint_costs_warranty*Annual_mi*(Model!P2/12)),(No_Vehicles*EB_Maint_Costs*Annual_mi*(Model!P2/12)))</f>
        <v>42001.919999999998</v>
      </c>
      <c r="Q25" s="24">
        <f>IF(EB_Maint_Warranty&gt;=Model!Q1,(No_Vehicles*EB_Maint_costs_warranty*Annual_mi*(Model!Q2/12)),(No_Vehicles*EB_Maint_Costs*Annual_mi*(Model!Q2/12)))</f>
        <v>0</v>
      </c>
      <c r="R25" s="24">
        <f>IF(EB_Maint_Warranty&gt;=Model!R1,(No_Vehicles*EB_Maint_costs_warranty*Annual_mi*(Model!R2/12)),(No_Vehicles*EB_Maint_Costs*Annual_mi*(Model!R2/12)))</f>
        <v>0</v>
      </c>
      <c r="S25" s="24">
        <f>IF(EB_Maint_Warranty&gt;=Model!S1,(No_Vehicles*EB_Maint_costs_warranty*Annual_mi*(Model!S2/12)),(No_Vehicles*EB_Maint_Costs*Annual_mi*(Model!S2/12)))</f>
        <v>0</v>
      </c>
      <c r="T25" s="24">
        <f>IF(EB_Maint_Warranty&gt;=Model!T1,(No_Vehicles*EB_Maint_costs_warranty*Annual_mi*(Model!T2/12)),(No_Vehicles*EB_Maint_Costs*Annual_mi*(Model!T2/12)))</f>
        <v>0</v>
      </c>
      <c r="U25" s="24">
        <f>IF(EB_Maint_Warranty&gt;=Model!U1,(No_Vehicles*EB_Maint_costs_warranty*Annual_mi*(Model!U2/12)),(No_Vehicles*EB_Maint_Costs*Annual_mi*(Model!U2/12)))</f>
        <v>0</v>
      </c>
      <c r="V25" s="24">
        <f>IF(EB_Maint_Warranty&gt;=Model!V1,(No_Vehicles*EB_Maint_costs_warranty*Annual_mi*(Model!V2/12)),(No_Vehicles*EB_Maint_Costs*Annual_mi*(Model!V2/12)))</f>
        <v>0</v>
      </c>
      <c r="W25" s="24">
        <f>IF(EB_Maint_Warranty&gt;=Model!W1,(No_Vehicles*EB_Maint_costs_warranty*Annual_mi*(Model!W2/12)),(No_Vehicles*EB_Maint_Costs*Annual_mi*(Model!W2/12)))</f>
        <v>0</v>
      </c>
      <c r="X25" s="24">
        <f>IF(EB_Maint_Warranty&gt;=Model!X1,(No_Vehicles*EB_Maint_costs_warranty*Annual_mi*(Model!X2/12)),(No_Vehicles*EB_Maint_Costs*Annual_mi*(Model!X2/12)))</f>
        <v>0</v>
      </c>
      <c r="Y25" s="58"/>
      <c r="AA25" s="60"/>
      <c r="AB25" s="58"/>
    </row>
    <row r="26" spans="1:28" s="22" customFormat="1">
      <c r="B26" s="351" t="s">
        <v>33</v>
      </c>
      <c r="C26" s="352"/>
      <c r="D26" s="12">
        <f>(D22*(Monthly_kWh_Use*Model!D2))+(D23*D2)</f>
        <v>18077.702678892001</v>
      </c>
      <c r="E26" s="12">
        <f>(E22*(Monthly_kWh_Use*Model!E2))+(E23*E2)</f>
        <v>36122.426160426221</v>
      </c>
      <c r="F26" s="12">
        <f>(F22*(Monthly_kWh_Use*Model!F2))+(F23*F2)</f>
        <v>36089.479942265789</v>
      </c>
      <c r="G26" s="11">
        <f>(G22*(Monthly_kWh_Use*Model!G2))+(G23*G2)</f>
        <v>36056.566670323526</v>
      </c>
      <c r="H26" s="12">
        <f>(H22*(Monthly_kWh_Use*Model!H2))+(H23*H2)</f>
        <v>36023.686311653204</v>
      </c>
      <c r="I26" s="12">
        <f>(I22*(Monthly_kWh_Use*Model!I2))+(I23*I2)</f>
        <v>35990.83883334155</v>
      </c>
      <c r="J26" s="12">
        <f>(J22*(Monthly_kWh_Use*Model!J2))+(J23*J2)</f>
        <v>35958.024202508204</v>
      </c>
      <c r="K26" s="12">
        <f>(K22*(Monthly_kWh_Use*Model!K2))+(K23*K2)</f>
        <v>35925.242386305697</v>
      </c>
      <c r="L26" s="12">
        <f>(L22*(Monthly_kWh_Use*Model!L2))+(L23*L2)</f>
        <v>35892.493351919395</v>
      </c>
      <c r="M26" s="11">
        <f>(M22*(Monthly_kWh_Use*Model!M2))+(M23*M2)</f>
        <v>35859.777066567469</v>
      </c>
      <c r="N26" s="12">
        <f>(N22*(Monthly_kWh_Use*Model!N2))+(N23*N2)</f>
        <v>35827.0934975009</v>
      </c>
      <c r="O26" s="12">
        <f>(O22*(Monthly_kWh_Use*Model!O2))+(O23*O2)</f>
        <v>35794.442612003397</v>
      </c>
      <c r="P26" s="12">
        <f>(P22*(Monthly_kWh_Use*Model!P2))+(P23*P2)</f>
        <v>17880.912188695696</v>
      </c>
      <c r="Q26" s="12">
        <f>(Q22*(Monthly_kWh_Use*Model!Q2))+(Q23*Q2)</f>
        <v>0</v>
      </c>
      <c r="R26" s="12">
        <f>(R22*(Monthly_kWh_Use*Model!R2))+(R23*R2)</f>
        <v>0</v>
      </c>
      <c r="S26" s="12">
        <f>(S22*(Monthly_kWh_Use*Model!S2))+(S23*S2)</f>
        <v>0</v>
      </c>
      <c r="T26" s="12">
        <f>(T22*(Monthly_kWh_Use*Model!T2))+(T23*T2)</f>
        <v>0</v>
      </c>
      <c r="U26" s="12">
        <f>(U22*(Monthly_kWh_Use*Model!U2))+(U23*U2)</f>
        <v>0</v>
      </c>
      <c r="V26" s="12">
        <f>(V22*(Monthly_kWh_Use*Model!V2))+(V23*V2)</f>
        <v>0</v>
      </c>
      <c r="W26" s="12">
        <f>(W22*(Monthly_kWh_Use*Model!W2))+(W23*W2)</f>
        <v>0</v>
      </c>
      <c r="X26" s="12">
        <f>(X22*(Monthly_kWh_Use*Model!X2))+(X23*X2)</f>
        <v>0</v>
      </c>
      <c r="Y26" s="58"/>
    </row>
    <row r="27" spans="1:28" s="22" customFormat="1">
      <c r="B27" s="354" t="s">
        <v>9</v>
      </c>
      <c r="C27" s="354"/>
      <c r="D27" s="24">
        <f t="shared" ref="D27:X27" si="12">No_Vehicles*Diesel_Maint*Annual_mi*(D2/12)</f>
        <v>57752.639999999999</v>
      </c>
      <c r="E27" s="24">
        <f t="shared" si="12"/>
        <v>115505.28</v>
      </c>
      <c r="F27" s="24">
        <f t="shared" si="12"/>
        <v>115505.28</v>
      </c>
      <c r="G27" s="24">
        <f t="shared" si="12"/>
        <v>115505.28</v>
      </c>
      <c r="H27" s="24">
        <f t="shared" si="12"/>
        <v>115505.28</v>
      </c>
      <c r="I27" s="24">
        <f t="shared" si="12"/>
        <v>115505.28</v>
      </c>
      <c r="J27" s="24">
        <f t="shared" si="12"/>
        <v>115505.28</v>
      </c>
      <c r="K27" s="24">
        <f t="shared" si="12"/>
        <v>115505.28</v>
      </c>
      <c r="L27" s="24">
        <f t="shared" si="12"/>
        <v>115505.28</v>
      </c>
      <c r="M27" s="24">
        <f t="shared" si="12"/>
        <v>115505.28</v>
      </c>
      <c r="N27" s="24">
        <f t="shared" si="12"/>
        <v>115505.28</v>
      </c>
      <c r="O27" s="24">
        <f t="shared" si="12"/>
        <v>115505.28</v>
      </c>
      <c r="P27" s="24">
        <f t="shared" si="12"/>
        <v>57752.639999999999</v>
      </c>
      <c r="Q27" s="24">
        <f t="shared" si="12"/>
        <v>0</v>
      </c>
      <c r="R27" s="24">
        <f t="shared" si="12"/>
        <v>0</v>
      </c>
      <c r="S27" s="24">
        <f t="shared" si="12"/>
        <v>0</v>
      </c>
      <c r="T27" s="24">
        <f t="shared" si="12"/>
        <v>0</v>
      </c>
      <c r="U27" s="24">
        <f t="shared" si="12"/>
        <v>0</v>
      </c>
      <c r="V27" s="24">
        <f t="shared" si="12"/>
        <v>0</v>
      </c>
      <c r="W27" s="24">
        <f t="shared" si="12"/>
        <v>0</v>
      </c>
      <c r="X27" s="24">
        <f t="shared" si="12"/>
        <v>0</v>
      </c>
      <c r="Y27" s="58"/>
    </row>
    <row r="28" spans="1:28" s="22" customFormat="1">
      <c r="B28" s="352" t="s">
        <v>10</v>
      </c>
      <c r="C28" s="352"/>
      <c r="D28" s="12">
        <f>D24*(Annual_diesel_used*(Model!D2/12))</f>
        <v>47102.921928000003</v>
      </c>
      <c r="E28" s="12">
        <f>E24*(Annual_diesel_used*(Model!E2/12))</f>
        <v>94865.284762992014</v>
      </c>
      <c r="F28" s="12">
        <f>F24*(Annual_diesel_used*(Model!F2/12))</f>
        <v>95529.341756332957</v>
      </c>
      <c r="G28" s="12">
        <f>G24*(Annual_diesel_used*(Model!G2/12))</f>
        <v>96198.047148627287</v>
      </c>
      <c r="H28" s="12">
        <f>H24*(Annual_diesel_used*(Model!H2/12))</f>
        <v>96871.433478667677</v>
      </c>
      <c r="I28" s="12">
        <f>I24*(Annual_diesel_used*(Model!I2/12))</f>
        <v>97549.533513018352</v>
      </c>
      <c r="J28" s="12">
        <f>J24*(Annual_diesel_used*(Model!J2/12))</f>
        <v>98232.380247609472</v>
      </c>
      <c r="K28" s="12">
        <f>K24*(Annual_diesel_used*(Model!K2/12))</f>
        <v>98920.006909342745</v>
      </c>
      <c r="L28" s="12">
        <f>L24*(Annual_diesel_used*(Model!L2/12))</f>
        <v>99612.446957708133</v>
      </c>
      <c r="M28" s="12">
        <f>M24*(Annual_diesel_used*(Model!M2/12))</f>
        <v>100309.73408641211</v>
      </c>
      <c r="N28" s="12">
        <f>N24*(Annual_diesel_used*(Model!N2/12))</f>
        <v>101011.90222501698</v>
      </c>
      <c r="O28" s="12">
        <f>O24*(Annual_diesel_used*(Model!O2/12))</f>
        <v>101718.9855405921</v>
      </c>
      <c r="P28" s="12">
        <f>P24*(Annual_diesel_used*(Model!P2/12))</f>
        <v>51215.509219688123</v>
      </c>
      <c r="Q28" s="12">
        <f>Q24*(Annual_diesel_used*(Model!Q2/12))</f>
        <v>0</v>
      </c>
      <c r="R28" s="12">
        <f>R24*(Annual_diesel_used*(Model!R2/12))</f>
        <v>0</v>
      </c>
      <c r="S28" s="12">
        <f>S24*(Annual_diesel_used*(Model!S2/12))</f>
        <v>0</v>
      </c>
      <c r="T28" s="12">
        <f>T24*(Annual_diesel_used*(Model!T2/12))</f>
        <v>0</v>
      </c>
      <c r="U28" s="12">
        <f>U24*(Annual_diesel_used*(Model!U2/12))</f>
        <v>0</v>
      </c>
      <c r="V28" s="12">
        <f>V24*(Annual_diesel_used*(Model!V2/12))</f>
        <v>0</v>
      </c>
      <c r="W28" s="12">
        <f>W24*(Annual_diesel_used*(Model!W2/12))</f>
        <v>0</v>
      </c>
      <c r="X28" s="12">
        <f>X24*(Annual_diesel_used*(Model!X2/12))</f>
        <v>0</v>
      </c>
      <c r="Y28" s="58"/>
    </row>
    <row r="29" spans="1:28" s="29" customFormat="1">
      <c r="B29" s="46" t="s">
        <v>98</v>
      </c>
      <c r="C29" s="31"/>
      <c r="D29" s="47">
        <f t="shared" ref="D29:X29" si="13">(D2/12)*Diesel_Station_Ops</f>
        <v>0</v>
      </c>
      <c r="E29" s="47">
        <f t="shared" si="13"/>
        <v>0</v>
      </c>
      <c r="F29" s="47">
        <f t="shared" si="13"/>
        <v>0</v>
      </c>
      <c r="G29" s="47">
        <f t="shared" si="13"/>
        <v>0</v>
      </c>
      <c r="H29" s="47">
        <f t="shared" si="13"/>
        <v>0</v>
      </c>
      <c r="I29" s="47">
        <f t="shared" si="13"/>
        <v>0</v>
      </c>
      <c r="J29" s="47">
        <f t="shared" si="13"/>
        <v>0</v>
      </c>
      <c r="K29" s="47">
        <f t="shared" si="13"/>
        <v>0</v>
      </c>
      <c r="L29" s="47">
        <f t="shared" si="13"/>
        <v>0</v>
      </c>
      <c r="M29" s="47">
        <f t="shared" si="13"/>
        <v>0</v>
      </c>
      <c r="N29" s="47">
        <f t="shared" si="13"/>
        <v>0</v>
      </c>
      <c r="O29" s="47">
        <f t="shared" si="13"/>
        <v>0</v>
      </c>
      <c r="P29" s="47">
        <f t="shared" si="13"/>
        <v>0</v>
      </c>
      <c r="Q29" s="47">
        <f t="shared" si="13"/>
        <v>0</v>
      </c>
      <c r="R29" s="47">
        <f t="shared" si="13"/>
        <v>0</v>
      </c>
      <c r="S29" s="47">
        <f t="shared" si="13"/>
        <v>0</v>
      </c>
      <c r="T29" s="47">
        <f t="shared" si="13"/>
        <v>0</v>
      </c>
      <c r="U29" s="47">
        <f t="shared" si="13"/>
        <v>0</v>
      </c>
      <c r="V29" s="47">
        <f t="shared" si="13"/>
        <v>0</v>
      </c>
      <c r="W29" s="47">
        <f t="shared" si="13"/>
        <v>0</v>
      </c>
      <c r="X29" s="47">
        <f t="shared" si="13"/>
        <v>0</v>
      </c>
      <c r="Y29" s="58"/>
    </row>
    <row r="30" spans="1:28" s="22" customFormat="1">
      <c r="B30" s="351" t="s">
        <v>72</v>
      </c>
      <c r="C30" s="352"/>
      <c r="D30" s="12">
        <f t="shared" ref="D30:X30" si="14">EVSE_MaintOps*No_EVSEs*(D3/12)</f>
        <v>0</v>
      </c>
      <c r="E30" s="12">
        <f t="shared" si="14"/>
        <v>0</v>
      </c>
      <c r="F30" s="12">
        <f t="shared" si="14"/>
        <v>0</v>
      </c>
      <c r="G30" s="12">
        <f t="shared" si="14"/>
        <v>0</v>
      </c>
      <c r="H30" s="12">
        <f t="shared" si="14"/>
        <v>0</v>
      </c>
      <c r="I30" s="12">
        <f t="shared" si="14"/>
        <v>0</v>
      </c>
      <c r="J30" s="12">
        <f t="shared" si="14"/>
        <v>0</v>
      </c>
      <c r="K30" s="12">
        <f t="shared" si="14"/>
        <v>0</v>
      </c>
      <c r="L30" s="12">
        <f t="shared" si="14"/>
        <v>0</v>
      </c>
      <c r="M30" s="12">
        <f t="shared" si="14"/>
        <v>0</v>
      </c>
      <c r="N30" s="12">
        <f t="shared" si="14"/>
        <v>0</v>
      </c>
      <c r="O30" s="12">
        <f t="shared" si="14"/>
        <v>0</v>
      </c>
      <c r="P30" s="12">
        <f t="shared" si="14"/>
        <v>0</v>
      </c>
      <c r="Q30" s="12">
        <f t="shared" si="14"/>
        <v>0</v>
      </c>
      <c r="R30" s="12">
        <f t="shared" si="14"/>
        <v>0</v>
      </c>
      <c r="S30" s="12">
        <f t="shared" si="14"/>
        <v>0</v>
      </c>
      <c r="T30" s="12">
        <f t="shared" si="14"/>
        <v>0</v>
      </c>
      <c r="U30" s="12">
        <f t="shared" si="14"/>
        <v>0</v>
      </c>
      <c r="V30" s="12">
        <f t="shared" si="14"/>
        <v>0</v>
      </c>
      <c r="W30" s="12">
        <f t="shared" si="14"/>
        <v>0</v>
      </c>
      <c r="X30" s="12">
        <f t="shared" si="14"/>
        <v>0</v>
      </c>
      <c r="Y30" s="58"/>
    </row>
    <row r="31" spans="1:28" s="22" customFormat="1">
      <c r="B31" s="353" t="s">
        <v>34</v>
      </c>
      <c r="C31" s="354"/>
      <c r="D31" s="24">
        <f>No_Vehicles*Driver_Hours_Redux*4*Driver_Salary*Model!D2</f>
        <v>0</v>
      </c>
      <c r="E31" s="24">
        <f>No_Vehicles*Driver_Hours_Redux*4*Driver_Salary*Model!E2</f>
        <v>0</v>
      </c>
      <c r="F31" s="24">
        <f>No_Vehicles*Driver_Hours_Redux*4*Driver_Salary*Model!F2</f>
        <v>0</v>
      </c>
      <c r="G31" s="24">
        <f>No_Vehicles*Driver_Hours_Redux*4*Driver_Salary*Model!G2</f>
        <v>0</v>
      </c>
      <c r="H31" s="24">
        <f>No_Vehicles*Driver_Hours_Redux*4*Driver_Salary*Model!H2</f>
        <v>0</v>
      </c>
      <c r="I31" s="24">
        <f>No_Vehicles*Driver_Hours_Redux*4*Driver_Salary*Model!I2</f>
        <v>0</v>
      </c>
      <c r="J31" s="24">
        <f>No_Vehicles*Driver_Hours_Redux*4*Driver_Salary*Model!J2</f>
        <v>0</v>
      </c>
      <c r="K31" s="24">
        <f>No_Vehicles*Driver_Hours_Redux*4*Driver_Salary*Model!K2</f>
        <v>0</v>
      </c>
      <c r="L31" s="24">
        <f>No_Vehicles*Driver_Hours_Redux*4*Driver_Salary*Model!L2</f>
        <v>0</v>
      </c>
      <c r="M31" s="24">
        <f>No_Vehicles*Driver_Hours_Redux*4*Driver_Salary*Model!M2</f>
        <v>0</v>
      </c>
      <c r="N31" s="24">
        <f>No_Vehicles*Driver_Hours_Redux*4*Driver_Salary*Model!N2</f>
        <v>0</v>
      </c>
      <c r="O31" s="24">
        <f>No_Vehicles*Driver_Hours_Redux*4*Driver_Salary*Model!O2</f>
        <v>0</v>
      </c>
      <c r="P31" s="24">
        <f>No_Vehicles*Driver_Hours_Redux*4*Driver_Salary*Model!P2</f>
        <v>0</v>
      </c>
      <c r="Q31" s="24">
        <f>No_Vehicles*Driver_Hours_Redux*4*Driver_Salary*Model!Q2</f>
        <v>0</v>
      </c>
      <c r="R31" s="24">
        <f>No_Vehicles*Driver_Hours_Redux*4*Driver_Salary*Model!R2</f>
        <v>0</v>
      </c>
      <c r="S31" s="24">
        <f>No_Vehicles*Driver_Hours_Redux*4*Driver_Salary*Model!S2</f>
        <v>0</v>
      </c>
      <c r="T31" s="24">
        <f>No_Vehicles*Driver_Hours_Redux*4*Driver_Salary*Model!T2</f>
        <v>0</v>
      </c>
      <c r="U31" s="24">
        <f>No_Vehicles*Driver_Hours_Redux*4*Driver_Salary*Model!U2</f>
        <v>0</v>
      </c>
      <c r="V31" s="24">
        <f>No_Vehicles*Driver_Hours_Redux*4*Driver_Salary*Model!V2</f>
        <v>0</v>
      </c>
      <c r="W31" s="24">
        <f>No_Vehicles*Driver_Hours_Redux*4*Driver_Salary*Model!W2</f>
        <v>0</v>
      </c>
      <c r="X31" s="24">
        <f>No_Vehicles*Driver_Hours_Redux*4*Driver_Salary*Model!X2</f>
        <v>0</v>
      </c>
    </row>
    <row r="32" spans="1:28" s="29" customFormat="1">
      <c r="B32" s="85" t="s">
        <v>132</v>
      </c>
      <c r="C32" s="44"/>
      <c r="D32" s="45">
        <f t="shared" ref="D32:X32" si="15">(D2/12)*Annual_GHG_worth</f>
        <v>0</v>
      </c>
      <c r="E32" s="45">
        <f t="shared" si="15"/>
        <v>0</v>
      </c>
      <c r="F32" s="45">
        <f t="shared" si="15"/>
        <v>0</v>
      </c>
      <c r="G32" s="45">
        <f t="shared" si="15"/>
        <v>0</v>
      </c>
      <c r="H32" s="45">
        <f t="shared" si="15"/>
        <v>0</v>
      </c>
      <c r="I32" s="45">
        <f t="shared" si="15"/>
        <v>0</v>
      </c>
      <c r="J32" s="45">
        <f t="shared" si="15"/>
        <v>0</v>
      </c>
      <c r="K32" s="45">
        <f t="shared" si="15"/>
        <v>0</v>
      </c>
      <c r="L32" s="45">
        <f t="shared" si="15"/>
        <v>0</v>
      </c>
      <c r="M32" s="45">
        <f t="shared" si="15"/>
        <v>0</v>
      </c>
      <c r="N32" s="45">
        <f t="shared" si="15"/>
        <v>0</v>
      </c>
      <c r="O32" s="45">
        <f t="shared" si="15"/>
        <v>0</v>
      </c>
      <c r="P32" s="45">
        <f t="shared" si="15"/>
        <v>0</v>
      </c>
      <c r="Q32" s="45">
        <f t="shared" si="15"/>
        <v>0</v>
      </c>
      <c r="R32" s="45">
        <f t="shared" si="15"/>
        <v>0</v>
      </c>
      <c r="S32" s="45">
        <f t="shared" si="15"/>
        <v>0</v>
      </c>
      <c r="T32" s="45">
        <f t="shared" si="15"/>
        <v>0</v>
      </c>
      <c r="U32" s="45">
        <f t="shared" si="15"/>
        <v>0</v>
      </c>
      <c r="V32" s="45">
        <f t="shared" si="15"/>
        <v>0</v>
      </c>
      <c r="W32" s="45">
        <f t="shared" si="15"/>
        <v>0</v>
      </c>
      <c r="X32" s="45">
        <f t="shared" si="15"/>
        <v>0</v>
      </c>
    </row>
    <row r="33" spans="1:24">
      <c r="A33" s="341"/>
      <c r="B33" s="341"/>
      <c r="C33" s="341"/>
    </row>
    <row r="34" spans="1:24">
      <c r="B34" s="13" t="s">
        <v>17</v>
      </c>
      <c r="C34" s="13"/>
      <c r="D34" s="14">
        <f>-D11+(D15-D14)+D16+D17+D18-D19-D25-D26+D27+D28+D29-D30+D31+D32</f>
        <v>-322467.18075089197</v>
      </c>
      <c r="E34" s="14">
        <f t="shared" ref="E34:X34" si="16">(E15-E14)+E16+E17+E18-E19-E25-E26+E27+E28+E29-E30+E31+E32</f>
        <v>150622.05860256578</v>
      </c>
      <c r="F34" s="14">
        <f t="shared" si="16"/>
        <v>90941.301814067177</v>
      </c>
      <c r="G34" s="14">
        <f t="shared" si="16"/>
        <v>91642.920478303771</v>
      </c>
      <c r="H34" s="14">
        <f t="shared" si="16"/>
        <v>92349.187167014476</v>
      </c>
      <c r="I34" s="14">
        <f t="shared" si="16"/>
        <v>93060.134679676805</v>
      </c>
      <c r="J34" s="14">
        <f t="shared" si="16"/>
        <v>93775.796045101262</v>
      </c>
      <c r="K34" s="14">
        <f t="shared" si="16"/>
        <v>94496.204523037042</v>
      </c>
      <c r="L34" s="14">
        <f t="shared" si="16"/>
        <v>95221.393605788733</v>
      </c>
      <c r="M34" s="14">
        <f t="shared" si="16"/>
        <v>95951.397019844633</v>
      </c>
      <c r="N34" s="14">
        <f t="shared" si="16"/>
        <v>96686.248727516082</v>
      </c>
      <c r="O34" s="14">
        <f t="shared" si="16"/>
        <v>97425.98292858871</v>
      </c>
      <c r="P34" s="14">
        <f t="shared" si="16"/>
        <v>265990.08110742556</v>
      </c>
      <c r="Q34" s="14">
        <f t="shared" si="16"/>
        <v>0</v>
      </c>
      <c r="R34" s="14">
        <f t="shared" si="16"/>
        <v>0</v>
      </c>
      <c r="S34" s="14">
        <f t="shared" si="16"/>
        <v>0</v>
      </c>
      <c r="T34" s="14">
        <f t="shared" si="16"/>
        <v>0</v>
      </c>
      <c r="U34" s="14">
        <f t="shared" si="16"/>
        <v>0</v>
      </c>
      <c r="V34" s="14">
        <f t="shared" si="16"/>
        <v>0</v>
      </c>
      <c r="W34" s="14">
        <f t="shared" si="16"/>
        <v>0</v>
      </c>
      <c r="X34" s="14">
        <f t="shared" si="16"/>
        <v>0</v>
      </c>
    </row>
    <row r="35" spans="1:24">
      <c r="B35" s="2" t="s">
        <v>18</v>
      </c>
      <c r="D35" s="15">
        <f t="shared" ref="D35:X35" si="17">1/(1+Discount_Rate)^D1</f>
        <v>1</v>
      </c>
      <c r="E35" s="15">
        <f t="shared" si="17"/>
        <v>0.96525096525096521</v>
      </c>
      <c r="F35" s="15">
        <f t="shared" si="17"/>
        <v>0.93170942591792005</v>
      </c>
      <c r="G35" s="15">
        <f t="shared" si="17"/>
        <v>0.89933342270069505</v>
      </c>
      <c r="H35" s="15">
        <f t="shared" si="17"/>
        <v>0.8680824543443002</v>
      </c>
      <c r="I35" s="15">
        <f t="shared" si="17"/>
        <v>0.83791742697326266</v>
      </c>
      <c r="J35" s="15">
        <f t="shared" si="17"/>
        <v>0.80880060518654706</v>
      </c>
      <c r="K35" s="15">
        <f t="shared" si="17"/>
        <v>0.7806955648518793</v>
      </c>
      <c r="L35" s="15">
        <f t="shared" si="17"/>
        <v>0.75356714754042409</v>
      </c>
      <c r="M35" s="15">
        <f t="shared" si="17"/>
        <v>0.72738141654481081</v>
      </c>
      <c r="N35" s="15">
        <f t="shared" si="17"/>
        <v>0.70210561442549313</v>
      </c>
      <c r="O35" s="15">
        <f t="shared" si="17"/>
        <v>0.67770812203232922</v>
      </c>
      <c r="P35" s="15">
        <f t="shared" si="17"/>
        <v>0.65415841895012472</v>
      </c>
      <c r="Q35" s="15">
        <f t="shared" si="17"/>
        <v>0.63142704531865312</v>
      </c>
      <c r="R35" s="15">
        <f t="shared" si="17"/>
        <v>0.60948556497939499</v>
      </c>
      <c r="S35" s="15">
        <f t="shared" si="17"/>
        <v>0.5883065299028909</v>
      </c>
      <c r="T35" s="15">
        <f t="shared" si="17"/>
        <v>0.56786344585221127</v>
      </c>
      <c r="U35" s="15">
        <f t="shared" si="17"/>
        <v>0.54813073923958611</v>
      </c>
      <c r="V35" s="15">
        <f t="shared" si="17"/>
        <v>0.52908372513473567</v>
      </c>
      <c r="W35" s="15">
        <f t="shared" si="17"/>
        <v>0.51069857638487992</v>
      </c>
      <c r="X35" s="15">
        <f t="shared" si="17"/>
        <v>0.49295229380779915</v>
      </c>
    </row>
    <row r="36" spans="1:24">
      <c r="B36" s="13" t="s">
        <v>16</v>
      </c>
      <c r="C36" s="13"/>
      <c r="D36" s="14">
        <f>D34*D35</f>
        <v>-322467.18075089197</v>
      </c>
      <c r="E36" s="14">
        <f t="shared" ref="E36:X36" si="18">E34*E35</f>
        <v>145388.08745421408</v>
      </c>
      <c r="F36" s="14">
        <f t="shared" si="18"/>
        <v>84730.868105412825</v>
      </c>
      <c r="G36" s="14">
        <f t="shared" si="18"/>
        <v>82417.541340040552</v>
      </c>
      <c r="H36" s="14">
        <f t="shared" si="18"/>
        <v>80166.709052643084</v>
      </c>
      <c r="I36" s="14">
        <f t="shared" si="18"/>
        <v>77976.708604580082</v>
      </c>
      <c r="J36" s="14">
        <f t="shared" si="18"/>
        <v>75845.920593128103</v>
      </c>
      <c r="K36" s="14">
        <f t="shared" si="18"/>
        <v>73772.767766471108</v>
      </c>
      <c r="L36" s="14">
        <f t="shared" si="18"/>
        <v>71755.713964338196</v>
      </c>
      <c r="M36" s="14">
        <f t="shared" si="18"/>
        <v>69793.263083748127</v>
      </c>
      <c r="N36" s="14">
        <f t="shared" si="18"/>
        <v>67883.958069328728</v>
      </c>
      <c r="O36" s="14">
        <f t="shared" si="18"/>
        <v>66026.379927687623</v>
      </c>
      <c r="P36" s="14">
        <f t="shared" si="18"/>
        <v>173999.65091364895</v>
      </c>
      <c r="Q36" s="14">
        <f t="shared" si="18"/>
        <v>0</v>
      </c>
      <c r="R36" s="14">
        <f t="shared" si="18"/>
        <v>0</v>
      </c>
      <c r="S36" s="14">
        <f t="shared" si="18"/>
        <v>0</v>
      </c>
      <c r="T36" s="14">
        <f t="shared" si="18"/>
        <v>0</v>
      </c>
      <c r="U36" s="14">
        <f t="shared" si="18"/>
        <v>0</v>
      </c>
      <c r="V36" s="14">
        <f t="shared" si="18"/>
        <v>0</v>
      </c>
      <c r="W36" s="14">
        <f t="shared" si="18"/>
        <v>0</v>
      </c>
      <c r="X36" s="14">
        <f t="shared" si="18"/>
        <v>0</v>
      </c>
    </row>
    <row r="37" spans="1:24">
      <c r="A37" s="1"/>
      <c r="B37" s="16" t="s">
        <v>26</v>
      </c>
      <c r="C37" s="17">
        <f>SUM(D36:X36)</f>
        <v>747290.38812434953</v>
      </c>
    </row>
    <row r="38" spans="1:24" s="25" customFormat="1">
      <c r="A38" s="66"/>
      <c r="B38" s="67"/>
      <c r="C38" s="68"/>
    </row>
    <row r="39" spans="1:24">
      <c r="A39" s="355" t="s">
        <v>155</v>
      </c>
      <c r="B39" s="341"/>
      <c r="C39" s="341"/>
      <c r="D39" s="2">
        <f t="shared" ref="D39:X39" si="19">D1</f>
        <v>0</v>
      </c>
      <c r="E39" s="110">
        <f t="shared" si="19"/>
        <v>1</v>
      </c>
      <c r="F39" s="110">
        <f t="shared" si="19"/>
        <v>2</v>
      </c>
      <c r="G39" s="110">
        <f t="shared" si="19"/>
        <v>3</v>
      </c>
      <c r="H39" s="110">
        <f t="shared" si="19"/>
        <v>4</v>
      </c>
      <c r="I39" s="110">
        <f t="shared" si="19"/>
        <v>5</v>
      </c>
      <c r="J39" s="110">
        <f t="shared" si="19"/>
        <v>6</v>
      </c>
      <c r="K39" s="110">
        <f t="shared" si="19"/>
        <v>7</v>
      </c>
      <c r="L39" s="110">
        <f t="shared" si="19"/>
        <v>8</v>
      </c>
      <c r="M39" s="110">
        <f t="shared" si="19"/>
        <v>9</v>
      </c>
      <c r="N39" s="110">
        <f t="shared" si="19"/>
        <v>10</v>
      </c>
      <c r="O39" s="110">
        <f t="shared" si="19"/>
        <v>11</v>
      </c>
      <c r="P39" s="110">
        <f t="shared" si="19"/>
        <v>12</v>
      </c>
      <c r="Q39" s="110">
        <f t="shared" si="19"/>
        <v>13</v>
      </c>
      <c r="R39" s="110">
        <f t="shared" si="19"/>
        <v>14</v>
      </c>
      <c r="S39" s="110">
        <f t="shared" si="19"/>
        <v>15</v>
      </c>
      <c r="T39" s="110">
        <f t="shared" si="19"/>
        <v>16</v>
      </c>
      <c r="U39" s="110">
        <f t="shared" si="19"/>
        <v>17</v>
      </c>
      <c r="V39" s="110">
        <f t="shared" si="19"/>
        <v>18</v>
      </c>
      <c r="W39" s="110">
        <f t="shared" si="19"/>
        <v>19</v>
      </c>
      <c r="X39" s="110">
        <f t="shared" si="19"/>
        <v>20</v>
      </c>
    </row>
    <row r="40" spans="1:24">
      <c r="A40" s="332" t="s">
        <v>85</v>
      </c>
      <c r="B40" s="332"/>
      <c r="C40" s="332"/>
      <c r="D40" s="18">
        <f>D36</f>
        <v>-322467.18075089197</v>
      </c>
      <c r="E40" s="18">
        <f>D40+E36</f>
        <v>-177079.09329667789</v>
      </c>
      <c r="F40" s="18">
        <f>E40+F36</f>
        <v>-92348.225191265068</v>
      </c>
      <c r="G40" s="18">
        <f t="shared" ref="G40:X40" si="20">F40+G36</f>
        <v>-9930.6838512245158</v>
      </c>
      <c r="H40" s="18">
        <f t="shared" si="20"/>
        <v>70236.025201418568</v>
      </c>
      <c r="I40" s="18">
        <f t="shared" si="20"/>
        <v>148212.73380599864</v>
      </c>
      <c r="J40" s="18">
        <f t="shared" si="20"/>
        <v>224058.65439912674</v>
      </c>
      <c r="K40" s="18">
        <f t="shared" si="20"/>
        <v>297831.42216559785</v>
      </c>
      <c r="L40" s="18">
        <f>K40+L36</f>
        <v>369587.13612993603</v>
      </c>
      <c r="M40" s="18">
        <f t="shared" si="20"/>
        <v>439380.39921368414</v>
      </c>
      <c r="N40" s="18">
        <f t="shared" si="20"/>
        <v>507264.35728301288</v>
      </c>
      <c r="O40" s="18">
        <f t="shared" si="20"/>
        <v>573290.73721070052</v>
      </c>
      <c r="P40" s="18">
        <f>O40+P36</f>
        <v>747290.38812434953</v>
      </c>
      <c r="Q40" s="18">
        <f>P40+Q36</f>
        <v>747290.38812434953</v>
      </c>
      <c r="R40" s="18">
        <f t="shared" si="20"/>
        <v>747290.38812434953</v>
      </c>
      <c r="S40" s="18">
        <f>R40+S36</f>
        <v>747290.38812434953</v>
      </c>
      <c r="T40" s="18">
        <f>S40+T36</f>
        <v>747290.38812434953</v>
      </c>
      <c r="U40" s="18">
        <f t="shared" si="20"/>
        <v>747290.38812434953</v>
      </c>
      <c r="V40" s="18">
        <f t="shared" si="20"/>
        <v>747290.38812434953</v>
      </c>
      <c r="W40" s="18">
        <f t="shared" si="20"/>
        <v>747290.38812434953</v>
      </c>
      <c r="X40" s="18">
        <f t="shared" si="20"/>
        <v>747290.38812434953</v>
      </c>
    </row>
    <row r="41" spans="1:24">
      <c r="B41" s="333" t="s">
        <v>28</v>
      </c>
      <c r="C41" s="334"/>
      <c r="D41" s="2">
        <f>IF(OR(D2=0,D40&gt;-0.001),0,(IF(D2=6,0.5,1)))</f>
        <v>0.5</v>
      </c>
      <c r="E41" s="2">
        <f t="shared" ref="E41:X41" si="21">IF(OR(E2=0,E40&gt;-0.001),0,(IF(E2=6,0.5,1)))</f>
        <v>1</v>
      </c>
      <c r="F41" s="2">
        <f t="shared" si="21"/>
        <v>1</v>
      </c>
      <c r="G41" s="2">
        <f t="shared" si="21"/>
        <v>1</v>
      </c>
      <c r="H41" s="2">
        <f t="shared" si="21"/>
        <v>0</v>
      </c>
      <c r="I41" s="2">
        <f t="shared" si="21"/>
        <v>0</v>
      </c>
      <c r="J41" s="2">
        <f t="shared" si="21"/>
        <v>0</v>
      </c>
      <c r="K41" s="2">
        <f t="shared" si="21"/>
        <v>0</v>
      </c>
      <c r="L41" s="2">
        <f t="shared" si="21"/>
        <v>0</v>
      </c>
      <c r="M41" s="2">
        <f t="shared" si="21"/>
        <v>0</v>
      </c>
      <c r="N41" s="2">
        <f t="shared" si="21"/>
        <v>0</v>
      </c>
      <c r="O41" s="2">
        <f t="shared" si="21"/>
        <v>0</v>
      </c>
      <c r="P41" s="2">
        <f t="shared" si="21"/>
        <v>0</v>
      </c>
      <c r="Q41" s="2">
        <f t="shared" si="21"/>
        <v>0</v>
      </c>
      <c r="R41" s="2">
        <f t="shared" si="21"/>
        <v>0</v>
      </c>
      <c r="S41" s="2">
        <f t="shared" si="21"/>
        <v>0</v>
      </c>
      <c r="T41" s="2">
        <f t="shared" si="21"/>
        <v>0</v>
      </c>
      <c r="U41" s="2">
        <f t="shared" si="21"/>
        <v>0</v>
      </c>
      <c r="V41" s="2">
        <f t="shared" si="21"/>
        <v>0</v>
      </c>
      <c r="W41" s="2">
        <f t="shared" si="21"/>
        <v>0</v>
      </c>
      <c r="X41" s="2">
        <f t="shared" si="21"/>
        <v>0</v>
      </c>
    </row>
    <row r="42" spans="1:24">
      <c r="B42" s="335" t="s">
        <v>27</v>
      </c>
      <c r="C42" s="336"/>
      <c r="D42" s="19"/>
      <c r="E42" s="19">
        <f>IF(AND(D41=0.5,E41=0),((-D40/(E40-D40)*(E2/12))),0)</f>
        <v>0</v>
      </c>
      <c r="F42" s="19">
        <f t="shared" ref="F42:X42" si="22">IF(AND(E41=1,F41=0),((-E40/(F40-E40)*(F2/12))),0)</f>
        <v>0</v>
      </c>
      <c r="G42" s="19">
        <f t="shared" si="22"/>
        <v>0</v>
      </c>
      <c r="H42" s="19">
        <f t="shared" si="22"/>
        <v>0.12387540873984651</v>
      </c>
      <c r="I42" s="19">
        <f t="shared" si="22"/>
        <v>0</v>
      </c>
      <c r="J42" s="19">
        <f t="shared" si="22"/>
        <v>0</v>
      </c>
      <c r="K42" s="19">
        <f t="shared" si="22"/>
        <v>0</v>
      </c>
      <c r="L42" s="19">
        <f t="shared" si="22"/>
        <v>0</v>
      </c>
      <c r="M42" s="19">
        <f t="shared" si="22"/>
        <v>0</v>
      </c>
      <c r="N42" s="19">
        <f t="shared" si="22"/>
        <v>0</v>
      </c>
      <c r="O42" s="19">
        <f t="shared" si="22"/>
        <v>0</v>
      </c>
      <c r="P42" s="19">
        <f t="shared" si="22"/>
        <v>0</v>
      </c>
      <c r="Q42" s="19">
        <f t="shared" si="22"/>
        <v>0</v>
      </c>
      <c r="R42" s="19">
        <f t="shared" si="22"/>
        <v>0</v>
      </c>
      <c r="S42" s="19">
        <f t="shared" si="22"/>
        <v>0</v>
      </c>
      <c r="T42" s="19">
        <f t="shared" si="22"/>
        <v>0</v>
      </c>
      <c r="U42" s="19">
        <f t="shared" si="22"/>
        <v>0</v>
      </c>
      <c r="V42" s="19">
        <f t="shared" si="22"/>
        <v>0</v>
      </c>
      <c r="W42" s="19">
        <f t="shared" si="22"/>
        <v>0</v>
      </c>
      <c r="X42" s="19">
        <f t="shared" si="22"/>
        <v>0</v>
      </c>
    </row>
    <row r="43" spans="1:24">
      <c r="A43" s="341"/>
      <c r="B43" s="341"/>
      <c r="C43" s="341"/>
      <c r="D43" s="20"/>
      <c r="E43" s="20"/>
      <c r="F43" s="20"/>
      <c r="G43" s="20"/>
      <c r="H43" s="20"/>
      <c r="I43" s="20"/>
      <c r="J43" s="20"/>
      <c r="K43" s="20"/>
      <c r="L43" s="20"/>
      <c r="M43" s="20"/>
      <c r="N43" s="20"/>
      <c r="O43" s="20"/>
      <c r="P43" s="20"/>
      <c r="Q43" s="20"/>
      <c r="R43" s="20"/>
      <c r="S43" s="20"/>
      <c r="T43" s="20"/>
      <c r="U43" s="20"/>
      <c r="V43" s="20"/>
      <c r="W43" s="20"/>
      <c r="X43" s="20"/>
    </row>
    <row r="44" spans="1:24">
      <c r="A44" s="332" t="s">
        <v>86</v>
      </c>
      <c r="B44" s="332"/>
      <c r="C44" s="332"/>
      <c r="D44" s="18">
        <f>D34</f>
        <v>-322467.18075089197</v>
      </c>
      <c r="E44" s="18">
        <f>D44+E34</f>
        <v>-171845.12214832619</v>
      </c>
      <c r="F44" s="18">
        <f>E44+F34</f>
        <v>-80903.820334259013</v>
      </c>
      <c r="G44" s="18">
        <f t="shared" ref="G44:X44" si="23">F44+G34</f>
        <v>10739.100144044758</v>
      </c>
      <c r="H44" s="18">
        <f t="shared" si="23"/>
        <v>103088.28731105923</v>
      </c>
      <c r="I44" s="18">
        <f t="shared" si="23"/>
        <v>196148.42199073604</v>
      </c>
      <c r="J44" s="18">
        <f t="shared" si="23"/>
        <v>289924.21803583729</v>
      </c>
      <c r="K44" s="18">
        <f t="shared" si="23"/>
        <v>384420.42255887436</v>
      </c>
      <c r="L44" s="18">
        <f t="shared" si="23"/>
        <v>479641.81616466306</v>
      </c>
      <c r="M44" s="18">
        <f>L44+M34</f>
        <v>575593.21318450768</v>
      </c>
      <c r="N44" s="18">
        <f t="shared" si="23"/>
        <v>672279.46191202372</v>
      </c>
      <c r="O44" s="18">
        <f t="shared" si="23"/>
        <v>769705.44484061247</v>
      </c>
      <c r="P44" s="18">
        <f t="shared" si="23"/>
        <v>1035695.5259480381</v>
      </c>
      <c r="Q44" s="18">
        <f>P44+Q34</f>
        <v>1035695.5259480381</v>
      </c>
      <c r="R44" s="18">
        <f t="shared" si="23"/>
        <v>1035695.5259480381</v>
      </c>
      <c r="S44" s="18">
        <f t="shared" si="23"/>
        <v>1035695.5259480381</v>
      </c>
      <c r="T44" s="18">
        <f t="shared" si="23"/>
        <v>1035695.5259480381</v>
      </c>
      <c r="U44" s="18">
        <f t="shared" si="23"/>
        <v>1035695.5259480381</v>
      </c>
      <c r="V44" s="18">
        <f t="shared" si="23"/>
        <v>1035695.5259480381</v>
      </c>
      <c r="W44" s="18">
        <f t="shared" si="23"/>
        <v>1035695.5259480381</v>
      </c>
      <c r="X44" s="18">
        <f t="shared" si="23"/>
        <v>1035695.5259480381</v>
      </c>
    </row>
    <row r="45" spans="1:24">
      <c r="B45" s="333" t="s">
        <v>28</v>
      </c>
      <c r="C45" s="334"/>
      <c r="D45" s="2">
        <f t="shared" ref="D45:X45" si="24">IF(OR(D2=0,D44&gt;-0.001),0,(IF(D2=6,0.5,1)))</f>
        <v>0.5</v>
      </c>
      <c r="E45" s="2">
        <f t="shared" si="24"/>
        <v>1</v>
      </c>
      <c r="F45" s="2">
        <f t="shared" si="24"/>
        <v>1</v>
      </c>
      <c r="G45" s="2">
        <f t="shared" si="24"/>
        <v>0</v>
      </c>
      <c r="H45" s="2">
        <f t="shared" si="24"/>
        <v>0</v>
      </c>
      <c r="I45" s="2">
        <f t="shared" si="24"/>
        <v>0</v>
      </c>
      <c r="J45" s="2">
        <f t="shared" si="24"/>
        <v>0</v>
      </c>
      <c r="K45" s="2">
        <f t="shared" si="24"/>
        <v>0</v>
      </c>
      <c r="L45" s="2">
        <f t="shared" si="24"/>
        <v>0</v>
      </c>
      <c r="M45" s="2">
        <f t="shared" si="24"/>
        <v>0</v>
      </c>
      <c r="N45" s="2">
        <f t="shared" si="24"/>
        <v>0</v>
      </c>
      <c r="O45" s="2">
        <f t="shared" si="24"/>
        <v>0</v>
      </c>
      <c r="P45" s="2">
        <f t="shared" si="24"/>
        <v>0</v>
      </c>
      <c r="Q45" s="2">
        <f t="shared" si="24"/>
        <v>0</v>
      </c>
      <c r="R45" s="2">
        <f t="shared" si="24"/>
        <v>0</v>
      </c>
      <c r="S45" s="2">
        <f t="shared" si="24"/>
        <v>0</v>
      </c>
      <c r="T45" s="2">
        <f t="shared" si="24"/>
        <v>0</v>
      </c>
      <c r="U45" s="2">
        <f t="shared" si="24"/>
        <v>0</v>
      </c>
      <c r="V45" s="2">
        <f t="shared" si="24"/>
        <v>0</v>
      </c>
      <c r="W45" s="2">
        <f t="shared" si="24"/>
        <v>0</v>
      </c>
      <c r="X45" s="2">
        <f t="shared" si="24"/>
        <v>0</v>
      </c>
    </row>
    <row r="46" spans="1:24">
      <c r="B46" s="335" t="s">
        <v>27</v>
      </c>
      <c r="C46" s="336"/>
      <c r="D46" s="19"/>
      <c r="E46" s="19">
        <f t="shared" ref="E46:X46" si="25">IF(AND(D45=1,E45=0),((-D44/(E44-D44)*(E2/12))),0)</f>
        <v>0</v>
      </c>
      <c r="F46" s="19">
        <f t="shared" si="25"/>
        <v>0</v>
      </c>
      <c r="G46" s="19">
        <f t="shared" si="25"/>
        <v>0.88281582376472589</v>
      </c>
      <c r="H46" s="19">
        <f t="shared" si="25"/>
        <v>0</v>
      </c>
      <c r="I46" s="19">
        <f t="shared" si="25"/>
        <v>0</v>
      </c>
      <c r="J46" s="19">
        <f t="shared" si="25"/>
        <v>0</v>
      </c>
      <c r="K46" s="19">
        <f t="shared" si="25"/>
        <v>0</v>
      </c>
      <c r="L46" s="19">
        <f t="shared" si="25"/>
        <v>0</v>
      </c>
      <c r="M46" s="19">
        <f t="shared" si="25"/>
        <v>0</v>
      </c>
      <c r="N46" s="19">
        <f t="shared" si="25"/>
        <v>0</v>
      </c>
      <c r="O46" s="19">
        <f t="shared" si="25"/>
        <v>0</v>
      </c>
      <c r="P46" s="19">
        <f t="shared" si="25"/>
        <v>0</v>
      </c>
      <c r="Q46" s="19">
        <f t="shared" si="25"/>
        <v>0</v>
      </c>
      <c r="R46" s="19">
        <f t="shared" si="25"/>
        <v>0</v>
      </c>
      <c r="S46" s="19">
        <f t="shared" si="25"/>
        <v>0</v>
      </c>
      <c r="T46" s="19">
        <f t="shared" si="25"/>
        <v>0</v>
      </c>
      <c r="U46" s="19">
        <f t="shared" si="25"/>
        <v>0</v>
      </c>
      <c r="V46" s="19">
        <f t="shared" si="25"/>
        <v>0</v>
      </c>
      <c r="W46" s="19">
        <f t="shared" si="25"/>
        <v>0</v>
      </c>
      <c r="X46" s="19">
        <f t="shared" si="25"/>
        <v>0</v>
      </c>
    </row>
    <row r="47" spans="1:24" s="29" customFormat="1">
      <c r="B47" s="30"/>
      <c r="C47" s="31"/>
      <c r="D47" s="32"/>
      <c r="E47" s="32"/>
      <c r="F47" s="32"/>
      <c r="G47" s="32"/>
      <c r="H47" s="32"/>
      <c r="I47" s="32"/>
      <c r="J47" s="32"/>
      <c r="K47" s="32"/>
      <c r="L47" s="32"/>
      <c r="M47" s="32"/>
      <c r="N47" s="32"/>
      <c r="O47" s="32"/>
      <c r="P47" s="32"/>
      <c r="Q47" s="32"/>
      <c r="R47" s="32"/>
      <c r="S47" s="32"/>
      <c r="T47" s="32"/>
      <c r="U47" s="32"/>
      <c r="V47" s="32"/>
      <c r="W47" s="32"/>
      <c r="X47" s="32"/>
    </row>
    <row r="48" spans="1:24">
      <c r="A48" s="337" t="s">
        <v>82</v>
      </c>
      <c r="B48" s="337"/>
      <c r="C48" s="21">
        <f>SUM(D41:X42)</f>
        <v>3.6238754087398464</v>
      </c>
      <c r="I48" s="20"/>
    </row>
    <row r="49" spans="1:11">
      <c r="A49" s="330" t="s">
        <v>84</v>
      </c>
      <c r="B49" s="331"/>
      <c r="C49" s="33">
        <f>SUM(D45:X46)</f>
        <v>3.3828158237647257</v>
      </c>
    </row>
    <row r="50" spans="1:11">
      <c r="K50" s="20"/>
    </row>
  </sheetData>
  <mergeCells count="34">
    <mergeCell ref="A43:C43"/>
    <mergeCell ref="B22:C22"/>
    <mergeCell ref="B25:C25"/>
    <mergeCell ref="B41:C41"/>
    <mergeCell ref="B42:C42"/>
    <mergeCell ref="A33:C33"/>
    <mergeCell ref="A39:C39"/>
    <mergeCell ref="B24:C24"/>
    <mergeCell ref="B26:C26"/>
    <mergeCell ref="B27:C27"/>
    <mergeCell ref="B28:C28"/>
    <mergeCell ref="B30:C30"/>
    <mergeCell ref="B31:C31"/>
    <mergeCell ref="A1:C1"/>
    <mergeCell ref="A2:C2"/>
    <mergeCell ref="A3:C3"/>
    <mergeCell ref="A4:C4"/>
    <mergeCell ref="A40:C40"/>
    <mergeCell ref="A5:C5"/>
    <mergeCell ref="A6:C6"/>
    <mergeCell ref="A21:C21"/>
    <mergeCell ref="A12:C12"/>
    <mergeCell ref="A13:C13"/>
    <mergeCell ref="A20:C20"/>
    <mergeCell ref="B7:C7"/>
    <mergeCell ref="B8:C8"/>
    <mergeCell ref="B11:C11"/>
    <mergeCell ref="B16:C16"/>
    <mergeCell ref="B19:C19"/>
    <mergeCell ref="A49:B49"/>
    <mergeCell ref="A44:C44"/>
    <mergeCell ref="B45:C45"/>
    <mergeCell ref="B46:C46"/>
    <mergeCell ref="A48:B48"/>
  </mergeCells>
  <pageMargins left="0.7" right="0.7" top="0.75" bottom="0.75" header="0.3" footer="0.3"/>
  <pageSetup orientation="landscape" r:id="rId1"/>
  <ignoredErrors>
    <ignoredError sqref="P42" formula="1"/>
  </ignoredError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71</vt:i4>
      </vt:variant>
    </vt:vector>
  </HeadingPairs>
  <TitlesOfParts>
    <vt:vector size="74" baseType="lpstr">
      <vt:lpstr>Intro &amp; Instructions</vt:lpstr>
      <vt:lpstr>Inputs &amp; Outputs</vt:lpstr>
      <vt:lpstr>Model</vt:lpstr>
      <vt:lpstr>Annual_diesel_used</vt:lpstr>
      <vt:lpstr>Annual_GHG_worth</vt:lpstr>
      <vt:lpstr>Annual_kWh_Use</vt:lpstr>
      <vt:lpstr>Annual_mi</vt:lpstr>
      <vt:lpstr>Battery_Capacity</vt:lpstr>
      <vt:lpstr>Battery_Cost</vt:lpstr>
      <vt:lpstr>Battery_Cost_Redux</vt:lpstr>
      <vt:lpstr>Battery_cycles</vt:lpstr>
      <vt:lpstr>Battery_Life</vt:lpstr>
      <vt:lpstr>Battery_Range</vt:lpstr>
      <vt:lpstr>Battery_Replacement</vt:lpstr>
      <vt:lpstr>Battery_Salvage</vt:lpstr>
      <vt:lpstr>Bus_Life</vt:lpstr>
      <vt:lpstr>Cost_Diesel_Bus</vt:lpstr>
      <vt:lpstr>Daily_charges</vt:lpstr>
      <vt:lpstr>Daily_distance</vt:lpstr>
      <vt:lpstr>days_per_year</vt:lpstr>
      <vt:lpstr>Demand_charge</vt:lpstr>
      <vt:lpstr>Depot_or_Route</vt:lpstr>
      <vt:lpstr>Diesel_efficiency</vt:lpstr>
      <vt:lpstr>Diesel_GHG_Emissions</vt:lpstr>
      <vt:lpstr>Diesel_Inflation</vt:lpstr>
      <vt:lpstr>Diesel_Maint</vt:lpstr>
      <vt:lpstr>Diesel_Price</vt:lpstr>
      <vt:lpstr>Diesel_Residual</vt:lpstr>
      <vt:lpstr>Diesel_Station_Ops</vt:lpstr>
      <vt:lpstr>Discount_Rate</vt:lpstr>
      <vt:lpstr>Driver_Hours_Redux</vt:lpstr>
      <vt:lpstr>Driver_Salary</vt:lpstr>
      <vt:lpstr>Driver_Wage</vt:lpstr>
      <vt:lpstr>EB_Maint_Costs</vt:lpstr>
      <vt:lpstr>EB_Maint_costs_warranty</vt:lpstr>
      <vt:lpstr>EB_Maint_Warranty</vt:lpstr>
      <vt:lpstr>EB_Residual</vt:lpstr>
      <vt:lpstr>Electricity_Inflation</vt:lpstr>
      <vt:lpstr>Electricity_Price</vt:lpstr>
      <vt:lpstr>EV_efficiency</vt:lpstr>
      <vt:lpstr>EVSE_Efficiency</vt:lpstr>
      <vt:lpstr>EVSE_Installation</vt:lpstr>
      <vt:lpstr>EVSE_Life</vt:lpstr>
      <vt:lpstr>EVSE_MaintOps</vt:lpstr>
      <vt:lpstr>EVSE_Peak_draw</vt:lpstr>
      <vt:lpstr>EVSE_perc_usage</vt:lpstr>
      <vt:lpstr>EVSE_Price</vt:lpstr>
      <vt:lpstr>EVSE_Salvage_Value</vt:lpstr>
      <vt:lpstr>Expected_battery_life</vt:lpstr>
      <vt:lpstr>GHG_diesel_cost</vt:lpstr>
      <vt:lpstr>GHG_electricity_cost</vt:lpstr>
      <vt:lpstr>Grant_amount</vt:lpstr>
      <vt:lpstr>Grant_no_vehicles</vt:lpstr>
      <vt:lpstr>Inc_Cost</vt:lpstr>
      <vt:lpstr>Kg_GHG_per_gal_Diesel</vt:lpstr>
      <vt:lpstr>kg_GHG_per_kWh</vt:lpstr>
      <vt:lpstr>Load_delta</vt:lpstr>
      <vt:lpstr>Monthly_demand_charge</vt:lpstr>
      <vt:lpstr>Monthly_kWh_Use</vt:lpstr>
      <vt:lpstr>No_EVSEs</vt:lpstr>
      <vt:lpstr>No_Vehicles</vt:lpstr>
      <vt:lpstr>NPV</vt:lpstr>
      <vt:lpstr>NPV_2</vt:lpstr>
      <vt:lpstr>Payback_Discounted</vt:lpstr>
      <vt:lpstr>Payback_Discounted_2</vt:lpstr>
      <vt:lpstr>Payback_Simple</vt:lpstr>
      <vt:lpstr>Payback_Simple_2</vt:lpstr>
      <vt:lpstr>Peak_draw</vt:lpstr>
      <vt:lpstr>Price_Electric_Bus</vt:lpstr>
      <vt:lpstr>ROR</vt:lpstr>
      <vt:lpstr>Total_Peak_draw</vt:lpstr>
      <vt:lpstr>USD_per_kg_GHG</vt:lpstr>
      <vt:lpstr>Vehicles</vt:lpstr>
      <vt:lpstr>Years_or_Cycles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VICE-BEB: Vehicle and Infrastructure Cash-Flow Evaluation Model for Battery Electric Buses</dc:title>
  <dc:subject>This Vehicle and Infrastructure Cash-Flow Evaluation (VICE) model helps fleet managers assess the financial soundness of converting vehicles to battery electric buses (BEB).</dc:subject>
  <dc:creator>Johnson, Caley</dc:creator>
  <cp:keywords/>
  <dc:description/>
  <cp:lastModifiedBy>Matt Rahill</cp:lastModifiedBy>
  <cp:lastPrinted>2011-06-07T15:13:02Z</cp:lastPrinted>
  <dcterms:created xsi:type="dcterms:W3CDTF">2009-07-21T15:37:30Z</dcterms:created>
  <dcterms:modified xsi:type="dcterms:W3CDTF">2022-04-05T18:59:24Z</dcterms:modified>
  <cp:category/>
</cp:coreProperties>
</file>