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8"/>
  <workbookPr autoCompressPictures="0" defaultThemeVersion="124226"/>
  <mc:AlternateContent xmlns:mc="http://schemas.openxmlformats.org/markup-compatibility/2006">
    <mc:Choice Requires="x15">
      <x15ac:absPath xmlns:x15ac="http://schemas.microsoft.com/office/spreadsheetml/2010/11/ac" url="/Users/mrahill/Downloads/"/>
    </mc:Choice>
  </mc:AlternateContent>
  <xr:revisionPtr revIDLastSave="0" documentId="13_ncr:1_{88BF167B-368A-8740-92AB-72751C9BFF49}" xr6:coauthVersionLast="47" xr6:coauthVersionMax="47" xr10:uidLastSave="{00000000-0000-0000-0000-000000000000}"/>
  <bookViews>
    <workbookView xWindow="0" yWindow="760" windowWidth="30600" windowHeight="19700" xr2:uid="{00000000-000D-0000-FFFF-FFFF00000000}"/>
  </bookViews>
  <sheets>
    <sheet name="About VICE 2.0" sheetId="4" r:id="rId1"/>
    <sheet name="Inputs" sheetId="1" r:id="rId2"/>
    <sheet name="Results" sheetId="6" r:id="rId3"/>
    <sheet name="Instructions" sheetId="8" r:id="rId4"/>
    <sheet name="Glossary of Terms" sheetId="9" r:id="rId5"/>
    <sheet name="Vehicle &amp; Station Calculations" sheetId="2" r:id="rId6"/>
    <sheet name="Financial Calculations" sheetId="3" r:id="rId7"/>
  </sheets>
  <definedNames>
    <definedName name="CNG_GHG">Inputs!$G$62</definedName>
    <definedName name="CNG_Inflation">Inputs!$G$61</definedName>
    <definedName name="CNG_LDV_Maint_Costs">Inputs!$G$83</definedName>
    <definedName name="CNG_Maint_Costs">Inputs!$G$79</definedName>
    <definedName name="cng_mpg_dt">Inputs!$J$31</definedName>
    <definedName name="cng_mpg_pc">Inputs!$J$33</definedName>
    <definedName name="cng_mpg_ps">Inputs!$J$30</definedName>
    <definedName name="cng_mpg_pu">Inputs!$J$32</definedName>
    <definedName name="cng_mpg_sb">Inputs!$J$28</definedName>
    <definedName name="cng_mpg_tb">Inputs!$J$27</definedName>
    <definedName name="cng_mpg_tt">Inputs!$J$29</definedName>
    <definedName name="CNG_Price">Inputs!$G$60</definedName>
    <definedName name="CNG_Station_Salv">Inputs!$G$47</definedName>
    <definedName name="Diesel_Excise_Exempt">Inputs!$G$67</definedName>
    <definedName name="Diesel_GHG">Inputs!$G$70</definedName>
    <definedName name="Diesel_Inflation">Inputs!$G$64</definedName>
    <definedName name="Diesel_Maint">Inputs!$G$80</definedName>
    <definedName name="diesel_mpg_sb">Inputs!$H$28</definedName>
    <definedName name="diesel_mpg_tb">Inputs!$H$27</definedName>
    <definedName name="diesel_mpg_tt">Inputs!$H$29</definedName>
    <definedName name="Diesel_Price">Inputs!$G$63</definedName>
    <definedName name="Diesel_tax_exempt">Inputs!$G$68</definedName>
    <definedName name="dt_vmt">Inputs!$F$31</definedName>
    <definedName name="Excise_Tax_Credit">Inputs!$G$58</definedName>
    <definedName name="Fed_Diesel_tax">Inputs!$G$65</definedName>
    <definedName name="Fed_Gas_tax">Inputs!$G$73</definedName>
    <definedName name="FF_Offset">Inputs!$G$50</definedName>
    <definedName name="FF_Slope">Inputs!$G$49</definedName>
    <definedName name="Gasoline__Excise_Exempt">Inputs!$G$75</definedName>
    <definedName name="Gasoline_GHG">Inputs!$G$77</definedName>
    <definedName name="Gasoline_Inflation">Inputs!$G$72</definedName>
    <definedName name="Gasoline_Maint">Inputs!$G$82</definedName>
    <definedName name="gasoline_mpg_dt">Inputs!$H$31</definedName>
    <definedName name="gasoline_mpg_pc">Inputs!$H$33</definedName>
    <definedName name="gasoline_mpg_ps">Inputs!$H$30</definedName>
    <definedName name="gasoline_mpg_pu">Inputs!$H$32</definedName>
    <definedName name="gasoline_mpg_tt">Inputs!$H$31</definedName>
    <definedName name="Gasoline_Price">Inputs!$G$71</definedName>
    <definedName name="Gasoline_Tax_Exemption">Inputs!$G$76</definedName>
    <definedName name="GGE_DGE_Conv">Inputs!$G$69</definedName>
    <definedName name="Hossler_Cost">Inputs!$G$48</definedName>
    <definedName name="hossler_dt">Inputs!$L$31</definedName>
    <definedName name="hossler_pc">Inputs!$L$33</definedName>
    <definedName name="hossler_ps">Inputs!$L$30</definedName>
    <definedName name="hossler_pu">Inputs!$L$32</definedName>
    <definedName name="hossler_sb">Inputs!$L$28</definedName>
    <definedName name="hossler_tb">Inputs!$L$27</definedName>
    <definedName name="hossler_tt">Inputs!$L$29</definedName>
    <definedName name="INF_Slope_BP">Inputs!$G$51</definedName>
    <definedName name="Info_1">Instructions!$B$11</definedName>
    <definedName name="Info_2">Instructions!$B$16</definedName>
    <definedName name="Info_3">Instructions!$B$44</definedName>
    <definedName name="Info_loc_1">Inputs!$D$11</definedName>
    <definedName name="Info_loc_2">Inputs!$D$15</definedName>
    <definedName name="Info_loc_3">Inputs!$D$20</definedName>
    <definedName name="Infr_lookup_table">Inputs!$E$47:$I$86</definedName>
    <definedName name="infra_tax_credit_cap">Inputs!$G$55</definedName>
    <definedName name="infra_tax_credit_rate">Inputs!$G$54</definedName>
    <definedName name="infra_tax_credit_realized">Inputs!$G$56</definedName>
    <definedName name="Invest_Type">Inputs!$H$15</definedName>
    <definedName name="life_dt">Inputs!$G$31</definedName>
    <definedName name="life_pc">Inputs!$G$33</definedName>
    <definedName name="life_ps">Inputs!$G$30</definedName>
    <definedName name="life_pu">Inputs!$G$32</definedName>
    <definedName name="life_sb">Inputs!$G$28</definedName>
    <definedName name="life_tb">Inputs!$G$27</definedName>
    <definedName name="life_tt">Inputs!$G$29</definedName>
    <definedName name="no_dt">Inputs!$Y$99</definedName>
    <definedName name="No_Passcars">Inputs!$Y$101</definedName>
    <definedName name="No_Pickup_Trucks">Inputs!$Y$100</definedName>
    <definedName name="no_ps">Inputs!$Y$98</definedName>
    <definedName name="no_sb">Inputs!$Y$96</definedName>
    <definedName name="no_tb">Inputs!$Y$95</definedName>
    <definedName name="no_tt">Inputs!$Y$97</definedName>
    <definedName name="PC_VMT">Inputs!$F$33</definedName>
    <definedName name="_xlnm.Print_Area" localSheetId="4">'Glossary of Terms'!$B$1:$I$36</definedName>
    <definedName name="_xlnm.Print_Area" localSheetId="3">Instructions!$B$1:$M$85</definedName>
    <definedName name="_xlnm.Print_Area" localSheetId="2">Results!$A$1:$N$233</definedName>
    <definedName name="Project_Type">Inputs!$H$11</definedName>
    <definedName name="Project_Year">Inputs!$D$93:$X$93</definedName>
    <definedName name="ps_vmt">Inputs!$F$30</definedName>
    <definedName name="PU_vmt">Inputs!$F$32</definedName>
    <definedName name="Realized_Excise_Tax_Credit">Inputs!$G$59</definedName>
    <definedName name="Required_ROR">Inputs!$G$85</definedName>
    <definedName name="sb_vmt">Inputs!$F$28</definedName>
    <definedName name="State_Diesel_Tax">Inputs!$G$66</definedName>
    <definedName name="State_Gas_Tax">Inputs!$G$74</definedName>
    <definedName name="Tax_Status">Inputs!$H$20</definedName>
    <definedName name="tb_vmt">Inputs!$F$27</definedName>
    <definedName name="TF_Offset">Inputs!$G$53</definedName>
    <definedName name="TF_Slope">Inputs!$G$52</definedName>
    <definedName name="tt_vmt">Inputs!$F$29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D2" i="6" s="1"/>
  <c r="H11" i="1"/>
  <c r="E28" i="3" s="1"/>
  <c r="D103" i="1"/>
  <c r="E62" i="2" s="1"/>
  <c r="E103" i="1"/>
  <c r="F62" i="2" s="1"/>
  <c r="F103" i="1"/>
  <c r="G62" i="2" s="1"/>
  <c r="G103" i="1"/>
  <c r="H62" i="2" s="1"/>
  <c r="H103" i="1"/>
  <c r="I62" i="2" s="1"/>
  <c r="I103" i="1"/>
  <c r="J62" i="2" s="1"/>
  <c r="J103" i="1"/>
  <c r="K62" i="2"/>
  <c r="K103" i="1"/>
  <c r="L62" i="2" s="1"/>
  <c r="L103" i="1"/>
  <c r="M62" i="2" s="1"/>
  <c r="M103" i="1"/>
  <c r="N62" i="2"/>
  <c r="N103" i="1"/>
  <c r="O62" i="2" s="1"/>
  <c r="O103" i="1"/>
  <c r="P62" i="2" s="1"/>
  <c r="P103" i="1"/>
  <c r="Q62" i="2" s="1"/>
  <c r="Q103" i="1"/>
  <c r="R62" i="2"/>
  <c r="R103" i="1"/>
  <c r="S62" i="2" s="1"/>
  <c r="S103" i="1"/>
  <c r="T62" i="2"/>
  <c r="T103" i="1"/>
  <c r="U62" i="2" s="1"/>
  <c r="U103" i="1"/>
  <c r="V62" i="2"/>
  <c r="V103" i="1"/>
  <c r="W62" i="2"/>
  <c r="W103" i="1"/>
  <c r="X62" i="2" s="1"/>
  <c r="X103" i="1"/>
  <c r="Y62" i="2" s="1"/>
  <c r="J27" i="1"/>
  <c r="E8" i="2" s="1"/>
  <c r="J28" i="1"/>
  <c r="F8" i="2" s="1"/>
  <c r="J29" i="1"/>
  <c r="G8" i="2" s="1"/>
  <c r="J30" i="1"/>
  <c r="H8" i="2" s="1"/>
  <c r="J31" i="1"/>
  <c r="I8" i="2" s="1"/>
  <c r="J32" i="1"/>
  <c r="J8" i="2" s="1"/>
  <c r="J33" i="1"/>
  <c r="K8" i="2"/>
  <c r="E20" i="2"/>
  <c r="E30" i="2" s="1"/>
  <c r="E38" i="2" s="1"/>
  <c r="E21" i="2"/>
  <c r="E31" i="2" s="1"/>
  <c r="E39" i="2" s="1"/>
  <c r="E22" i="2"/>
  <c r="E32" i="2" s="1"/>
  <c r="E40" i="2" s="1"/>
  <c r="E23" i="2"/>
  <c r="E33" i="2" s="1"/>
  <c r="E24" i="2"/>
  <c r="E34" i="2" s="1"/>
  <c r="E42" i="2" s="1"/>
  <c r="E25" i="2"/>
  <c r="E35" i="2" s="1"/>
  <c r="E43" i="2" s="1"/>
  <c r="E26" i="2"/>
  <c r="E36" i="2"/>
  <c r="E44" i="2" s="1"/>
  <c r="E93" i="1"/>
  <c r="F93" i="1"/>
  <c r="G23" i="2" s="1"/>
  <c r="G33" i="2" s="1"/>
  <c r="G93" i="1"/>
  <c r="H93" i="1" s="1"/>
  <c r="G20" i="2"/>
  <c r="G30" i="2" s="1"/>
  <c r="G38" i="2" s="1"/>
  <c r="F20" i="2"/>
  <c r="F30" i="2" s="1"/>
  <c r="F21" i="2"/>
  <c r="F31" i="2" s="1"/>
  <c r="F39" i="2" s="1"/>
  <c r="F22" i="2"/>
  <c r="F32" i="2" s="1"/>
  <c r="F23" i="2"/>
  <c r="F24" i="2"/>
  <c r="F34" i="2" s="1"/>
  <c r="F42" i="2" s="1"/>
  <c r="F25" i="2"/>
  <c r="F35" i="2" s="1"/>
  <c r="F43" i="2" s="1"/>
  <c r="F26" i="2"/>
  <c r="F36" i="2" s="1"/>
  <c r="F44" i="2" s="1"/>
  <c r="G21" i="2"/>
  <c r="G31" i="2" s="1"/>
  <c r="G39" i="2" s="1"/>
  <c r="G22" i="2"/>
  <c r="G32" i="2" s="1"/>
  <c r="G24" i="2"/>
  <c r="G34" i="2" s="1"/>
  <c r="G42" i="2" s="1"/>
  <c r="G25" i="2"/>
  <c r="G35" i="2" s="1"/>
  <c r="G43" i="2" s="1"/>
  <c r="G26" i="2"/>
  <c r="G36" i="2" s="1"/>
  <c r="G44" i="2" s="1"/>
  <c r="H26" i="2"/>
  <c r="H36" i="2" s="1"/>
  <c r="H44" i="2" s="1"/>
  <c r="U67" i="2"/>
  <c r="H20" i="1"/>
  <c r="G59" i="1" s="1"/>
  <c r="K27" i="1"/>
  <c r="P8" i="3" s="1"/>
  <c r="K28" i="1"/>
  <c r="K29" i="1"/>
  <c r="K30" i="1"/>
  <c r="K31" i="1"/>
  <c r="K32" i="1"/>
  <c r="K33" i="1"/>
  <c r="G67" i="1"/>
  <c r="G75" i="1"/>
  <c r="D81" i="3"/>
  <c r="B92" i="3" s="1"/>
  <c r="D69" i="3"/>
  <c r="B89" i="3" s="1"/>
  <c r="D77" i="3"/>
  <c r="B91" i="3"/>
  <c r="D73" i="3"/>
  <c r="B90" i="3" s="1"/>
  <c r="D65" i="3"/>
  <c r="B88" i="3" s="1"/>
  <c r="D61" i="3"/>
  <c r="B87" i="3" s="1"/>
  <c r="E13" i="2"/>
  <c r="E12" i="2"/>
  <c r="F47" i="2"/>
  <c r="G47" i="2" s="1"/>
  <c r="H47" i="2" s="1"/>
  <c r="I47" i="2" s="1"/>
  <c r="J47" i="2" s="1"/>
  <c r="K47" i="2" s="1"/>
  <c r="L47" i="2" s="1"/>
  <c r="M47" i="2" s="1"/>
  <c r="N47" i="2" s="1"/>
  <c r="O47" i="2" s="1"/>
  <c r="P47" i="2" s="1"/>
  <c r="Q47" i="2" s="1"/>
  <c r="R47" i="2" s="1"/>
  <c r="S47" i="2" s="1"/>
  <c r="T47" i="2" s="1"/>
  <c r="U47" i="2" s="1"/>
  <c r="V47" i="2" s="1"/>
  <c r="W47" i="2" s="1"/>
  <c r="X47" i="2" s="1"/>
  <c r="Y47" i="2" s="1"/>
  <c r="G81" i="1"/>
  <c r="Y107" i="1"/>
  <c r="E106" i="1"/>
  <c r="F106" i="1"/>
  <c r="G106" i="1"/>
  <c r="H106" i="1"/>
  <c r="I106" i="1" s="1"/>
  <c r="J106" i="1" s="1"/>
  <c r="K106" i="1" s="1"/>
  <c r="L106" i="1" s="1"/>
  <c r="M106" i="1" s="1"/>
  <c r="N106" i="1" s="1"/>
  <c r="O106" i="1" s="1"/>
  <c r="P106" i="1" s="1"/>
  <c r="Q106" i="1" s="1"/>
  <c r="R106" i="1" s="1"/>
  <c r="S106" i="1" s="1"/>
  <c r="T106" i="1" s="1"/>
  <c r="U106" i="1" s="1"/>
  <c r="V106" i="1" s="1"/>
  <c r="W106" i="1" s="1"/>
  <c r="X106" i="1" s="1"/>
  <c r="K12" i="2"/>
  <c r="J12" i="2"/>
  <c r="I12" i="2"/>
  <c r="H12" i="2"/>
  <c r="Y33" i="3"/>
  <c r="X33" i="3"/>
  <c r="W33" i="3"/>
  <c r="V33" i="3"/>
  <c r="U33" i="3"/>
  <c r="T33" i="3"/>
  <c r="S33" i="3"/>
  <c r="R33" i="3"/>
  <c r="Q33" i="3"/>
  <c r="P33" i="3"/>
  <c r="O33" i="3"/>
  <c r="N33" i="3"/>
  <c r="M33" i="3"/>
  <c r="L33" i="3"/>
  <c r="K33" i="3"/>
  <c r="J33" i="3"/>
  <c r="I33" i="3"/>
  <c r="H33" i="3"/>
  <c r="G33" i="3"/>
  <c r="F33" i="3"/>
  <c r="E33" i="3"/>
  <c r="G14" i="2"/>
  <c r="K16" i="2"/>
  <c r="K15" i="2"/>
  <c r="J16" i="2"/>
  <c r="J15" i="2"/>
  <c r="I16" i="2"/>
  <c r="I15" i="2"/>
  <c r="H16" i="2"/>
  <c r="H15" i="2"/>
  <c r="G13" i="2"/>
  <c r="G12" i="2"/>
  <c r="F14" i="2"/>
  <c r="F13" i="2"/>
  <c r="F12" i="2"/>
  <c r="E14" i="2"/>
  <c r="E20" i="3"/>
  <c r="F20" i="3" s="1"/>
  <c r="G20" i="3" s="1"/>
  <c r="H20" i="3" s="1"/>
  <c r="I20" i="3" s="1"/>
  <c r="J20" i="3" s="1"/>
  <c r="K20" i="3" s="1"/>
  <c r="L20" i="3" s="1"/>
  <c r="M20" i="3" s="1"/>
  <c r="N20" i="3" s="1"/>
  <c r="O20" i="3" s="1"/>
  <c r="P20" i="3" s="1"/>
  <c r="Q20" i="3" s="1"/>
  <c r="R20" i="3" s="1"/>
  <c r="S20" i="3" s="1"/>
  <c r="T20" i="3" s="1"/>
  <c r="U20" i="3" s="1"/>
  <c r="V20" i="3" s="1"/>
  <c r="W20" i="3" s="1"/>
  <c r="X20" i="3" s="1"/>
  <c r="Y20" i="3" s="1"/>
  <c r="E18" i="3"/>
  <c r="F18" i="3"/>
  <c r="G18" i="3"/>
  <c r="H18" i="3" s="1"/>
  <c r="I18" i="3" s="1"/>
  <c r="J18" i="3" s="1"/>
  <c r="K18" i="3" s="1"/>
  <c r="L18" i="3" s="1"/>
  <c r="M18" i="3" s="1"/>
  <c r="N18" i="3" s="1"/>
  <c r="O18" i="3" s="1"/>
  <c r="P18" i="3" s="1"/>
  <c r="Q18" i="3" s="1"/>
  <c r="R18" i="3" s="1"/>
  <c r="S18" i="3" s="1"/>
  <c r="T18" i="3" s="1"/>
  <c r="U18" i="3" s="1"/>
  <c r="V18" i="3" s="1"/>
  <c r="W18" i="3" s="1"/>
  <c r="X18" i="3" s="1"/>
  <c r="Y18" i="3" s="1"/>
  <c r="E17" i="3"/>
  <c r="F17" i="3"/>
  <c r="G17" i="3" s="1"/>
  <c r="H17" i="3" s="1"/>
  <c r="I17" i="3" s="1"/>
  <c r="J17" i="3" s="1"/>
  <c r="K17" i="3" s="1"/>
  <c r="L17" i="3" s="1"/>
  <c r="M17" i="3" s="1"/>
  <c r="N17" i="3" s="1"/>
  <c r="O17" i="3" s="1"/>
  <c r="P17" i="3" s="1"/>
  <c r="Q17" i="3" s="1"/>
  <c r="R17" i="3" s="1"/>
  <c r="S17" i="3" s="1"/>
  <c r="T17" i="3" s="1"/>
  <c r="U17" i="3" s="1"/>
  <c r="V17" i="3" s="1"/>
  <c r="W17" i="3" s="1"/>
  <c r="X17" i="3" s="1"/>
  <c r="Y17" i="3" s="1"/>
  <c r="K17" i="2"/>
  <c r="J17" i="2"/>
  <c r="I17" i="2"/>
  <c r="H17" i="2"/>
  <c r="G17" i="2"/>
  <c r="F17" i="2"/>
  <c r="F7" i="2"/>
  <c r="V50" i="2"/>
  <c r="E17" i="2"/>
  <c r="K7" i="2"/>
  <c r="T55" i="2" s="1"/>
  <c r="J7" i="2"/>
  <c r="E54" i="2" s="1"/>
  <c r="I7" i="2"/>
  <c r="M53" i="2" s="1"/>
  <c r="U53" i="2"/>
  <c r="H7" i="2"/>
  <c r="I52" i="2"/>
  <c r="G7" i="2"/>
  <c r="H51" i="2"/>
  <c r="Y101" i="1"/>
  <c r="K11" i="6" s="1"/>
  <c r="M11" i="6" s="1"/>
  <c r="Y100" i="1"/>
  <c r="K10" i="6" s="1"/>
  <c r="M10" i="6" s="1"/>
  <c r="Y99" i="1"/>
  <c r="K9" i="6" s="1"/>
  <c r="M9" i="6" s="1"/>
  <c r="Y98" i="1"/>
  <c r="K8" i="6" s="1"/>
  <c r="M8" i="6" s="1"/>
  <c r="Y97" i="1"/>
  <c r="K7" i="6" s="1"/>
  <c r="M7" i="6" s="1"/>
  <c r="Y96" i="1"/>
  <c r="K6" i="6" s="1"/>
  <c r="M6" i="6" s="1"/>
  <c r="Y95" i="1"/>
  <c r="Y8" i="3"/>
  <c r="H8" i="3"/>
  <c r="L8" i="3"/>
  <c r="T8" i="3"/>
  <c r="X8" i="3"/>
  <c r="K8" i="3"/>
  <c r="S8" i="3"/>
  <c r="W8" i="3"/>
  <c r="F8" i="3"/>
  <c r="J8" i="3"/>
  <c r="R8" i="3"/>
  <c r="V8" i="3"/>
  <c r="M8" i="3"/>
  <c r="Q8" i="3"/>
  <c r="U8" i="3"/>
  <c r="M51" i="2"/>
  <c r="R54" i="2"/>
  <c r="E52" i="2"/>
  <c r="V51" i="2"/>
  <c r="W50" i="2"/>
  <c r="X54" i="2"/>
  <c r="X51" i="2"/>
  <c r="P50" i="2"/>
  <c r="H53" i="2"/>
  <c r="K10" i="2"/>
  <c r="N50" i="2"/>
  <c r="Q51" i="2"/>
  <c r="K11" i="2"/>
  <c r="J54" i="2"/>
  <c r="P54" i="2"/>
  <c r="U54" i="2"/>
  <c r="K9" i="2"/>
  <c r="L54" i="2"/>
  <c r="Q54" i="2"/>
  <c r="J53" i="2"/>
  <c r="Y53" i="2"/>
  <c r="F51" i="2"/>
  <c r="F67" i="2"/>
  <c r="T67" i="2"/>
  <c r="E67" i="2"/>
  <c r="E68" i="2" s="1"/>
  <c r="M67" i="2"/>
  <c r="G67" i="2"/>
  <c r="O67" i="2"/>
  <c r="H67" i="2"/>
  <c r="P67" i="2"/>
  <c r="X67" i="2"/>
  <c r="Q67" i="2"/>
  <c r="J67" i="2"/>
  <c r="V67" i="2"/>
  <c r="Y67" i="2"/>
  <c r="R67" i="2"/>
  <c r="K67" i="2"/>
  <c r="R51" i="2"/>
  <c r="Y51" i="2"/>
  <c r="J51" i="2"/>
  <c r="O53" i="2"/>
  <c r="O50" i="2"/>
  <c r="U51" i="2"/>
  <c r="T51" i="2"/>
  <c r="I51" i="2"/>
  <c r="S51" i="2"/>
  <c r="P51" i="2"/>
  <c r="W51" i="2"/>
  <c r="O51" i="2"/>
  <c r="L51" i="2"/>
  <c r="E51" i="2"/>
  <c r="R52" i="2"/>
  <c r="K51" i="2"/>
  <c r="U55" i="2"/>
  <c r="W55" i="2"/>
  <c r="N55" i="2"/>
  <c r="S55" i="2"/>
  <c r="H55" i="2"/>
  <c r="Y55" i="2"/>
  <c r="O55" i="2"/>
  <c r="L55" i="2"/>
  <c r="Q52" i="2"/>
  <c r="P52" i="2"/>
  <c r="S52" i="2"/>
  <c r="H52" i="2"/>
  <c r="X52" i="2"/>
  <c r="G52" i="2"/>
  <c r="M52" i="2"/>
  <c r="O52" i="2"/>
  <c r="J52" i="2"/>
  <c r="V52" i="2"/>
  <c r="U52" i="2"/>
  <c r="K52" i="2"/>
  <c r="Y52" i="2"/>
  <c r="W52" i="2"/>
  <c r="F52" i="2"/>
  <c r="N52" i="2"/>
  <c r="L52" i="2"/>
  <c r="T52" i="2"/>
  <c r="T50" i="2"/>
  <c r="Y50" i="2"/>
  <c r="X50" i="2"/>
  <c r="L50" i="2"/>
  <c r="R50" i="2"/>
  <c r="I50" i="2"/>
  <c r="K50" i="2"/>
  <c r="Q50" i="2"/>
  <c r="E50" i="2"/>
  <c r="S50" i="2"/>
  <c r="F50" i="2"/>
  <c r="J50" i="2"/>
  <c r="H50" i="2"/>
  <c r="T54" i="2"/>
  <c r="M54" i="2"/>
  <c r="N54" i="2"/>
  <c r="G50" i="2"/>
  <c r="U50" i="2"/>
  <c r="M50" i="2"/>
  <c r="G51" i="2"/>
  <c r="N51" i="2"/>
  <c r="N53" i="2"/>
  <c r="I21" i="2" l="1"/>
  <c r="I31" i="2" s="1"/>
  <c r="I39" i="2" s="1"/>
  <c r="I93" i="1"/>
  <c r="I22" i="2"/>
  <c r="I32" i="2" s="1"/>
  <c r="I23" i="2"/>
  <c r="I33" i="2" s="1"/>
  <c r="I41" i="2" s="1"/>
  <c r="I20" i="2"/>
  <c r="I30" i="2" s="1"/>
  <c r="I24" i="2"/>
  <c r="I34" i="2" s="1"/>
  <c r="I42" i="2" s="1"/>
  <c r="I25" i="2"/>
  <c r="I35" i="2" s="1"/>
  <c r="I43" i="2" s="1"/>
  <c r="I26" i="2"/>
  <c r="I36" i="2" s="1"/>
  <c r="I44" i="2" s="1"/>
  <c r="H11" i="2"/>
  <c r="H9" i="2"/>
  <c r="H10" i="2"/>
  <c r="G10" i="2"/>
  <c r="G11" i="2"/>
  <c r="G9" i="2"/>
  <c r="E9" i="2"/>
  <c r="E10" i="2"/>
  <c r="E11" i="2"/>
  <c r="J10" i="2"/>
  <c r="J9" i="2"/>
  <c r="J11" i="2"/>
  <c r="I10" i="2"/>
  <c r="I11" i="2"/>
  <c r="I9" i="2"/>
  <c r="F11" i="2"/>
  <c r="F9" i="2"/>
  <c r="F10" i="2"/>
  <c r="P53" i="2"/>
  <c r="Q53" i="2"/>
  <c r="R53" i="2"/>
  <c r="F54" i="2"/>
  <c r="P55" i="2"/>
  <c r="V55" i="2"/>
  <c r="G53" i="2"/>
  <c r="K53" i="2"/>
  <c r="V54" i="2"/>
  <c r="E55" i="2"/>
  <c r="E8" i="3"/>
  <c r="W53" i="2"/>
  <c r="H25" i="2"/>
  <c r="H35" i="2" s="1"/>
  <c r="H43" i="2" s="1"/>
  <c r="X53" i="2"/>
  <c r="Y54" i="2"/>
  <c r="Q55" i="2"/>
  <c r="K54" i="2"/>
  <c r="K55" i="2"/>
  <c r="J55" i="2"/>
  <c r="T53" i="2"/>
  <c r="W54" i="2"/>
  <c r="I8" i="3"/>
  <c r="O8" i="3"/>
  <c r="H24" i="2"/>
  <c r="H34" i="2" s="1"/>
  <c r="H42" i="2" s="1"/>
  <c r="F55" i="2"/>
  <c r="S53" i="2"/>
  <c r="H54" i="2"/>
  <c r="M55" i="2"/>
  <c r="G55" i="2"/>
  <c r="F53" i="2"/>
  <c r="E53" i="2"/>
  <c r="H23" i="2"/>
  <c r="H33" i="2" s="1"/>
  <c r="H41" i="2" s="1"/>
  <c r="H20" i="2"/>
  <c r="H30" i="2" s="1"/>
  <c r="I54" i="2"/>
  <c r="R55" i="2"/>
  <c r="X55" i="2"/>
  <c r="L53" i="2"/>
  <c r="I53" i="2"/>
  <c r="E7" i="2"/>
  <c r="G8" i="3"/>
  <c r="H22" i="2"/>
  <c r="H32" i="2" s="1"/>
  <c r="H21" i="2"/>
  <c r="H31" i="2" s="1"/>
  <c r="H39" i="2" s="1"/>
  <c r="V53" i="2"/>
  <c r="O54" i="2"/>
  <c r="I55" i="2"/>
  <c r="G54" i="2"/>
  <c r="S54" i="2"/>
  <c r="N8" i="3"/>
  <c r="F38" i="2"/>
  <c r="F40" i="2"/>
  <c r="G68" i="1"/>
  <c r="G76" i="1"/>
  <c r="G69" i="2"/>
  <c r="I40" i="2"/>
  <c r="G40" i="2"/>
  <c r="G59" i="2"/>
  <c r="G55" i="3" s="1"/>
  <c r="E69" i="2"/>
  <c r="F33" i="2"/>
  <c r="F69" i="2"/>
  <c r="E59" i="2"/>
  <c r="F59" i="2"/>
  <c r="F55" i="3" s="1"/>
  <c r="G88" i="1"/>
  <c r="Y103" i="1"/>
  <c r="G87" i="1"/>
  <c r="K5" i="6"/>
  <c r="M5" i="6" s="1"/>
  <c r="M12" i="6" s="1"/>
  <c r="L67" i="2"/>
  <c r="F68" i="2"/>
  <c r="G68" i="2" s="1"/>
  <c r="H68" i="2" s="1"/>
  <c r="S67" i="2"/>
  <c r="I67" i="2"/>
  <c r="N67" i="2"/>
  <c r="W67" i="2"/>
  <c r="H59" i="2" l="1"/>
  <c r="U49" i="2"/>
  <c r="U56" i="2" s="1"/>
  <c r="O49" i="2"/>
  <c r="O56" i="2" s="1"/>
  <c r="Y49" i="2"/>
  <c r="Y56" i="2" s="1"/>
  <c r="M49" i="2"/>
  <c r="M56" i="2" s="1"/>
  <c r="J49" i="2"/>
  <c r="J56" i="2" s="1"/>
  <c r="S49" i="2"/>
  <c r="S56" i="2" s="1"/>
  <c r="G49" i="2"/>
  <c r="G56" i="2" s="1"/>
  <c r="E49" i="2"/>
  <c r="E56" i="2" s="1"/>
  <c r="P49" i="2"/>
  <c r="P56" i="2" s="1"/>
  <c r="W49" i="2"/>
  <c r="W56" i="2" s="1"/>
  <c r="K49" i="2"/>
  <c r="K56" i="2" s="1"/>
  <c r="R49" i="2"/>
  <c r="R56" i="2" s="1"/>
  <c r="L49" i="2"/>
  <c r="L56" i="2" s="1"/>
  <c r="X49" i="2"/>
  <c r="X56" i="2" s="1"/>
  <c r="H49" i="2"/>
  <c r="H56" i="2" s="1"/>
  <c r="I49" i="2"/>
  <c r="I56" i="2" s="1"/>
  <c r="F49" i="2"/>
  <c r="F56" i="2" s="1"/>
  <c r="N49" i="2"/>
  <c r="N56" i="2" s="1"/>
  <c r="T49" i="2"/>
  <c r="T56" i="2" s="1"/>
  <c r="Q49" i="2"/>
  <c r="Q56" i="2" s="1"/>
  <c r="V49" i="2"/>
  <c r="V56" i="2" s="1"/>
  <c r="I59" i="2"/>
  <c r="H40" i="2"/>
  <c r="H69" i="2"/>
  <c r="I69" i="2"/>
  <c r="J23" i="2"/>
  <c r="J33" i="2" s="1"/>
  <c r="J41" i="2" s="1"/>
  <c r="J24" i="2"/>
  <c r="J34" i="2" s="1"/>
  <c r="J42" i="2" s="1"/>
  <c r="J93" i="1"/>
  <c r="J20" i="2"/>
  <c r="J25" i="2"/>
  <c r="J35" i="2" s="1"/>
  <c r="J43" i="2" s="1"/>
  <c r="J26" i="2"/>
  <c r="J36" i="2" s="1"/>
  <c r="J44" i="2" s="1"/>
  <c r="J21" i="2"/>
  <c r="J31" i="2" s="1"/>
  <c r="J39" i="2" s="1"/>
  <c r="J22" i="2"/>
  <c r="J32" i="2" s="1"/>
  <c r="J40" i="2" s="1"/>
  <c r="F41" i="2"/>
  <c r="F30" i="3" s="1"/>
  <c r="G41" i="2"/>
  <c r="G30" i="3" s="1"/>
  <c r="E41" i="2"/>
  <c r="F21" i="3"/>
  <c r="H21" i="3"/>
  <c r="L21" i="3"/>
  <c r="P21" i="3"/>
  <c r="T21" i="3"/>
  <c r="Y21" i="3"/>
  <c r="J21" i="3"/>
  <c r="R21" i="3"/>
  <c r="K21" i="3"/>
  <c r="O21" i="3"/>
  <c r="S21" i="3"/>
  <c r="W21" i="3"/>
  <c r="E21" i="3"/>
  <c r="I21" i="3"/>
  <c r="M21" i="3"/>
  <c r="Q21" i="3"/>
  <c r="U21" i="3"/>
  <c r="X21" i="3"/>
  <c r="G21" i="3"/>
  <c r="N21" i="3"/>
  <c r="V21" i="3"/>
  <c r="I19" i="3"/>
  <c r="H19" i="3"/>
  <c r="P19" i="3"/>
  <c r="T19" i="3"/>
  <c r="X19" i="3"/>
  <c r="J19" i="3"/>
  <c r="L19" i="3"/>
  <c r="V19" i="3"/>
  <c r="F19" i="3"/>
  <c r="O19" i="3"/>
  <c r="N19" i="3"/>
  <c r="S19" i="3"/>
  <c r="W19" i="3"/>
  <c r="G19" i="3"/>
  <c r="G25" i="3" s="1"/>
  <c r="G44" i="3" s="1"/>
  <c r="K19" i="3"/>
  <c r="Q19" i="3"/>
  <c r="U19" i="3"/>
  <c r="Y19" i="3"/>
  <c r="M19" i="3"/>
  <c r="R19" i="3"/>
  <c r="E19" i="3"/>
  <c r="G70" i="2"/>
  <c r="G60" i="2"/>
  <c r="G63" i="2" s="1"/>
  <c r="G23" i="3"/>
  <c r="G22" i="3"/>
  <c r="G5" i="3"/>
  <c r="F60" i="2"/>
  <c r="F63" i="2" s="1"/>
  <c r="F70" i="2"/>
  <c r="E55" i="3"/>
  <c r="E70" i="2"/>
  <c r="E60" i="2"/>
  <c r="I60" i="2"/>
  <c r="I55" i="3"/>
  <c r="I70" i="2"/>
  <c r="I38" i="2"/>
  <c r="H38" i="2"/>
  <c r="H60" i="2"/>
  <c r="H70" i="2"/>
  <c r="H55" i="3"/>
  <c r="I68" i="2"/>
  <c r="J68" i="2" s="1"/>
  <c r="K68" i="2" s="1"/>
  <c r="L68" i="2" s="1"/>
  <c r="M68" i="2" s="1"/>
  <c r="N68" i="2" s="1"/>
  <c r="O68" i="2" s="1"/>
  <c r="P68" i="2" s="1"/>
  <c r="Q68" i="2" s="1"/>
  <c r="R68" i="2" s="1"/>
  <c r="S68" i="2" s="1"/>
  <c r="T68" i="2" s="1"/>
  <c r="U68" i="2" s="1"/>
  <c r="V68" i="2" s="1"/>
  <c r="W68" i="2" s="1"/>
  <c r="X68" i="2" s="1"/>
  <c r="Y68" i="2" s="1"/>
  <c r="F26" i="3" l="1"/>
  <c r="G27" i="3"/>
  <c r="G45" i="3" s="1"/>
  <c r="G54" i="3" s="1"/>
  <c r="J30" i="2"/>
  <c r="J38" i="2" s="1"/>
  <c r="J23" i="3" s="1"/>
  <c r="J69" i="2"/>
  <c r="J59" i="2"/>
  <c r="E27" i="3"/>
  <c r="E45" i="3" s="1"/>
  <c r="E46" i="3" s="1"/>
  <c r="F23" i="3"/>
  <c r="G26" i="3"/>
  <c r="K20" i="2"/>
  <c r="K25" i="2"/>
  <c r="K35" i="2" s="1"/>
  <c r="K43" i="2" s="1"/>
  <c r="K93" i="1"/>
  <c r="K26" i="2"/>
  <c r="K36" i="2" s="1"/>
  <c r="K44" i="2" s="1"/>
  <c r="K21" i="2"/>
  <c r="K31" i="2" s="1"/>
  <c r="K39" i="2" s="1"/>
  <c r="K22" i="2"/>
  <c r="K32" i="2" s="1"/>
  <c r="K40" i="2" s="1"/>
  <c r="K23" i="2"/>
  <c r="K33" i="2" s="1"/>
  <c r="K41" i="2" s="1"/>
  <c r="K24" i="2"/>
  <c r="K34" i="2" s="1"/>
  <c r="K42" i="2" s="1"/>
  <c r="E25" i="3"/>
  <c r="E44" i="3" s="1"/>
  <c r="E53" i="3" s="1"/>
  <c r="F25" i="3"/>
  <c r="F44" i="3" s="1"/>
  <c r="F53" i="3" s="1"/>
  <c r="G24" i="3"/>
  <c r="F27" i="3"/>
  <c r="F45" i="3" s="1"/>
  <c r="F54" i="3" s="1"/>
  <c r="E23" i="3"/>
  <c r="E22" i="3"/>
  <c r="E24" i="3"/>
  <c r="E5" i="3"/>
  <c r="E30" i="3"/>
  <c r="E26" i="3"/>
  <c r="F5" i="3"/>
  <c r="F14" i="3" s="1"/>
  <c r="F22" i="3"/>
  <c r="F24" i="3"/>
  <c r="F56" i="3"/>
  <c r="E49" i="3"/>
  <c r="E54" i="3"/>
  <c r="E56" i="3" s="1"/>
  <c r="E57" i="3" s="1"/>
  <c r="G53" i="3"/>
  <c r="G56" i="3" s="1"/>
  <c r="G29" i="3"/>
  <c r="G28" i="3"/>
  <c r="E61" i="2"/>
  <c r="E63" i="2"/>
  <c r="G9" i="3"/>
  <c r="G75" i="2"/>
  <c r="I5" i="3"/>
  <c r="I22" i="3"/>
  <c r="I24" i="3"/>
  <c r="I30" i="3"/>
  <c r="I26" i="3"/>
  <c r="I25" i="3"/>
  <c r="I44" i="3" s="1"/>
  <c r="I27" i="3"/>
  <c r="I45" i="3" s="1"/>
  <c r="I54" i="3" s="1"/>
  <c r="I23" i="3"/>
  <c r="I63" i="2"/>
  <c r="H63" i="2"/>
  <c r="J22" i="3"/>
  <c r="J24" i="3"/>
  <c r="J26" i="3"/>
  <c r="J30" i="3"/>
  <c r="J5" i="3"/>
  <c r="J25" i="3"/>
  <c r="J44" i="3" s="1"/>
  <c r="J27" i="3"/>
  <c r="J45" i="3" s="1"/>
  <c r="J54" i="3" s="1"/>
  <c r="F9" i="3"/>
  <c r="F75" i="2"/>
  <c r="H26" i="3"/>
  <c r="H23" i="3"/>
  <c r="H5" i="3"/>
  <c r="H27" i="3"/>
  <c r="H45" i="3" s="1"/>
  <c r="H24" i="3"/>
  <c r="H25" i="3"/>
  <c r="H44" i="3" s="1"/>
  <c r="H22" i="3"/>
  <c r="H30" i="3"/>
  <c r="J60" i="2" l="1"/>
  <c r="J63" i="2" s="1"/>
  <c r="J70" i="2"/>
  <c r="J55" i="3"/>
  <c r="L20" i="2"/>
  <c r="L93" i="1"/>
  <c r="L21" i="2"/>
  <c r="L31" i="2" s="1"/>
  <c r="L39" i="2" s="1"/>
  <c r="L22" i="2"/>
  <c r="L32" i="2" s="1"/>
  <c r="L40" i="2" s="1"/>
  <c r="L23" i="2"/>
  <c r="L33" i="2" s="1"/>
  <c r="L41" i="2" s="1"/>
  <c r="L24" i="2"/>
  <c r="L34" i="2" s="1"/>
  <c r="L42" i="2" s="1"/>
  <c r="L25" i="2"/>
  <c r="L35" i="2" s="1"/>
  <c r="L43" i="2" s="1"/>
  <c r="L26" i="2"/>
  <c r="L36" i="2" s="1"/>
  <c r="L44" i="2" s="1"/>
  <c r="F46" i="3"/>
  <c r="E48" i="3"/>
  <c r="F48" i="3" s="1"/>
  <c r="G48" i="3" s="1"/>
  <c r="K30" i="2"/>
  <c r="K38" i="2" s="1"/>
  <c r="K22" i="3" s="1"/>
  <c r="K29" i="3" s="1"/>
  <c r="K69" i="2"/>
  <c r="K59" i="2"/>
  <c r="K24" i="3"/>
  <c r="K26" i="3"/>
  <c r="K23" i="3"/>
  <c r="G46" i="3"/>
  <c r="F28" i="3"/>
  <c r="F49" i="3"/>
  <c r="G49" i="3" s="1"/>
  <c r="G50" i="3" s="1"/>
  <c r="E14" i="3"/>
  <c r="E29" i="3"/>
  <c r="F29" i="3"/>
  <c r="F57" i="3"/>
  <c r="G57" i="3" s="1"/>
  <c r="J28" i="3"/>
  <c r="H48" i="3"/>
  <c r="I48" i="3" s="1"/>
  <c r="I28" i="3"/>
  <c r="E73" i="2"/>
  <c r="E74" i="2"/>
  <c r="F61" i="2"/>
  <c r="E9" i="3"/>
  <c r="E75" i="2"/>
  <c r="H29" i="3"/>
  <c r="I29" i="3"/>
  <c r="H14" i="3"/>
  <c r="G14" i="3"/>
  <c r="H28" i="3"/>
  <c r="J9" i="3"/>
  <c r="J75" i="2"/>
  <c r="H9" i="3"/>
  <c r="H75" i="2"/>
  <c r="I75" i="2"/>
  <c r="I9" i="3"/>
  <c r="I53" i="3"/>
  <c r="I56" i="3" s="1"/>
  <c r="I46" i="3"/>
  <c r="J29" i="3"/>
  <c r="I14" i="3"/>
  <c r="F109" i="1"/>
  <c r="G10" i="3"/>
  <c r="G11" i="3" s="1"/>
  <c r="G32" i="3" s="1"/>
  <c r="E109" i="1"/>
  <c r="F10" i="3"/>
  <c r="F11" i="3" s="1"/>
  <c r="H46" i="3"/>
  <c r="H53" i="3"/>
  <c r="J53" i="3"/>
  <c r="J56" i="3" s="1"/>
  <c r="J46" i="3"/>
  <c r="H54" i="3"/>
  <c r="M21" i="2" l="1"/>
  <c r="M31" i="2" s="1"/>
  <c r="M39" i="2" s="1"/>
  <c r="M22" i="2"/>
  <c r="M32" i="2" s="1"/>
  <c r="M40" i="2" s="1"/>
  <c r="M23" i="2"/>
  <c r="M33" i="2" s="1"/>
  <c r="M41" i="2" s="1"/>
  <c r="M24" i="2"/>
  <c r="M34" i="2" s="1"/>
  <c r="M42" i="2" s="1"/>
  <c r="M25" i="2"/>
  <c r="M35" i="2" s="1"/>
  <c r="M43" i="2" s="1"/>
  <c r="M93" i="1"/>
  <c r="M26" i="2"/>
  <c r="M36" i="2" s="1"/>
  <c r="M44" i="2" s="1"/>
  <c r="M20" i="2"/>
  <c r="L30" i="2"/>
  <c r="L38" i="2" s="1"/>
  <c r="L5" i="3" s="1"/>
  <c r="L69" i="2"/>
  <c r="L59" i="2"/>
  <c r="K60" i="2"/>
  <c r="K63" i="2" s="1"/>
  <c r="K70" i="2"/>
  <c r="K55" i="3"/>
  <c r="F50" i="3"/>
  <c r="K5" i="3"/>
  <c r="K25" i="3"/>
  <c r="K44" i="3" s="1"/>
  <c r="K27" i="3"/>
  <c r="K45" i="3" s="1"/>
  <c r="K30" i="3"/>
  <c r="E50" i="3"/>
  <c r="H49" i="3"/>
  <c r="I49" i="3" s="1"/>
  <c r="J49" i="3" s="1"/>
  <c r="K49" i="3" s="1"/>
  <c r="F32" i="3"/>
  <c r="F77" i="3" s="1"/>
  <c r="F73" i="2"/>
  <c r="G61" i="2"/>
  <c r="F74" i="2"/>
  <c r="D109" i="1"/>
  <c r="G56" i="1"/>
  <c r="E10" i="3"/>
  <c r="E11" i="3" s="1"/>
  <c r="E32" i="3" s="1"/>
  <c r="H109" i="1"/>
  <c r="I10" i="3"/>
  <c r="I11" i="3" s="1"/>
  <c r="I32" i="3" s="1"/>
  <c r="J10" i="3"/>
  <c r="J11" i="3" s="1"/>
  <c r="J32" i="3" s="1"/>
  <c r="I109" i="1"/>
  <c r="H56" i="3"/>
  <c r="H57" i="3" s="1"/>
  <c r="I57" i="3" s="1"/>
  <c r="J57" i="3" s="1"/>
  <c r="G65" i="3"/>
  <c r="G77" i="3"/>
  <c r="G34" i="3"/>
  <c r="G69" i="3" s="1"/>
  <c r="G81" i="3"/>
  <c r="G73" i="3"/>
  <c r="G61" i="3"/>
  <c r="G109" i="1"/>
  <c r="H10" i="3"/>
  <c r="H11" i="3" s="1"/>
  <c r="H32" i="3" s="1"/>
  <c r="I50" i="3"/>
  <c r="J48" i="3"/>
  <c r="L25" i="3" l="1"/>
  <c r="L44" i="3" s="1"/>
  <c r="L30" i="3"/>
  <c r="F61" i="3"/>
  <c r="L23" i="3"/>
  <c r="L28" i="3" s="1"/>
  <c r="N25" i="2"/>
  <c r="N35" i="2" s="1"/>
  <c r="N43" i="2" s="1"/>
  <c r="N26" i="2"/>
  <c r="N36" i="2" s="1"/>
  <c r="N44" i="2" s="1"/>
  <c r="N93" i="1"/>
  <c r="N21" i="2"/>
  <c r="N31" i="2" s="1"/>
  <c r="N39" i="2" s="1"/>
  <c r="N22" i="2"/>
  <c r="N32" i="2" s="1"/>
  <c r="N40" i="2" s="1"/>
  <c r="N20" i="2"/>
  <c r="N23" i="2"/>
  <c r="N33" i="2" s="1"/>
  <c r="N41" i="2" s="1"/>
  <c r="N24" i="2"/>
  <c r="N34" i="2" s="1"/>
  <c r="N42" i="2" s="1"/>
  <c r="M59" i="2"/>
  <c r="M30" i="2"/>
  <c r="M38" i="2" s="1"/>
  <c r="M5" i="3" s="1"/>
  <c r="M69" i="2"/>
  <c r="M26" i="3"/>
  <c r="F65" i="3"/>
  <c r="K54" i="3"/>
  <c r="L27" i="3"/>
  <c r="L45" i="3" s="1"/>
  <c r="L54" i="3" s="1"/>
  <c r="H50" i="3"/>
  <c r="K53" i="3"/>
  <c r="K46" i="3"/>
  <c r="L22" i="3"/>
  <c r="L29" i="3" s="1"/>
  <c r="K9" i="3"/>
  <c r="K75" i="2"/>
  <c r="L49" i="3"/>
  <c r="F73" i="3"/>
  <c r="K14" i="3"/>
  <c r="J14" i="3"/>
  <c r="L26" i="3"/>
  <c r="L24" i="3"/>
  <c r="L70" i="2"/>
  <c r="L60" i="2"/>
  <c r="L63" i="2" s="1"/>
  <c r="L55" i="3"/>
  <c r="K28" i="3"/>
  <c r="F81" i="3"/>
  <c r="F34" i="3"/>
  <c r="F69" i="3" s="1"/>
  <c r="E34" i="3"/>
  <c r="E77" i="3"/>
  <c r="E78" i="3" s="1"/>
  <c r="E79" i="3" s="1"/>
  <c r="E73" i="3"/>
  <c r="E74" i="3" s="1"/>
  <c r="E75" i="3" s="1"/>
  <c r="E65" i="3"/>
  <c r="E66" i="3" s="1"/>
  <c r="E67" i="3" s="1"/>
  <c r="E61" i="3"/>
  <c r="E62" i="3" s="1"/>
  <c r="E81" i="3"/>
  <c r="E82" i="3" s="1"/>
  <c r="E83" i="3" s="1"/>
  <c r="H61" i="2"/>
  <c r="G73" i="2"/>
  <c r="G74" i="2"/>
  <c r="I77" i="3"/>
  <c r="I73" i="3"/>
  <c r="I34" i="3"/>
  <c r="I69" i="3" s="1"/>
  <c r="I65" i="3"/>
  <c r="I61" i="3"/>
  <c r="I81" i="3"/>
  <c r="J50" i="3"/>
  <c r="K48" i="3"/>
  <c r="H77" i="3"/>
  <c r="H61" i="3"/>
  <c r="H65" i="3"/>
  <c r="H81" i="3"/>
  <c r="H34" i="3"/>
  <c r="H73" i="3"/>
  <c r="J77" i="3"/>
  <c r="J81" i="3"/>
  <c r="J73" i="3"/>
  <c r="J34" i="3"/>
  <c r="J69" i="3" s="1"/>
  <c r="J65" i="3"/>
  <c r="J61" i="3"/>
  <c r="M30" i="3" l="1"/>
  <c r="K56" i="3"/>
  <c r="K57" i="3" s="1"/>
  <c r="M23" i="3"/>
  <c r="M28" i="3" s="1"/>
  <c r="O21" i="2"/>
  <c r="O31" i="2" s="1"/>
  <c r="O39" i="2" s="1"/>
  <c r="O22" i="2"/>
  <c r="O32" i="2" s="1"/>
  <c r="O40" i="2" s="1"/>
  <c r="O23" i="2"/>
  <c r="O33" i="2" s="1"/>
  <c r="O41" i="2" s="1"/>
  <c r="O24" i="2"/>
  <c r="O34" i="2" s="1"/>
  <c r="O42" i="2" s="1"/>
  <c r="O25" i="2"/>
  <c r="O35" i="2" s="1"/>
  <c r="O43" i="2" s="1"/>
  <c r="O93" i="1"/>
  <c r="O20" i="2"/>
  <c r="O26" i="2"/>
  <c r="O36" i="2" s="1"/>
  <c r="O44" i="2" s="1"/>
  <c r="M22" i="3"/>
  <c r="M29" i="3" s="1"/>
  <c r="M55" i="3"/>
  <c r="M60" i="2"/>
  <c r="M63" i="2" s="1"/>
  <c r="M70" i="2"/>
  <c r="L75" i="2"/>
  <c r="L9" i="3"/>
  <c r="M27" i="3"/>
  <c r="M45" i="3" s="1"/>
  <c r="M49" i="3" s="1"/>
  <c r="L53" i="3"/>
  <c r="L56" i="3" s="1"/>
  <c r="L46" i="3"/>
  <c r="J109" i="1"/>
  <c r="K10" i="3"/>
  <c r="K11" i="3" s="1"/>
  <c r="K32" i="3" s="1"/>
  <c r="M25" i="3"/>
  <c r="M44" i="3" s="1"/>
  <c r="M24" i="3"/>
  <c r="N30" i="2"/>
  <c r="N38" i="2" s="1"/>
  <c r="N5" i="3" s="1"/>
  <c r="N59" i="2"/>
  <c r="N69" i="2"/>
  <c r="N22" i="3"/>
  <c r="N29" i="3" s="1"/>
  <c r="N26" i="3"/>
  <c r="L14" i="3"/>
  <c r="F74" i="3"/>
  <c r="F66" i="3"/>
  <c r="F78" i="3"/>
  <c r="F62" i="3"/>
  <c r="E63" i="3"/>
  <c r="E69" i="3"/>
  <c r="E70" i="3" s="1"/>
  <c r="E37" i="3"/>
  <c r="H73" i="2"/>
  <c r="H74" i="2"/>
  <c r="I61" i="2"/>
  <c r="F82" i="3"/>
  <c r="H69" i="3"/>
  <c r="K50" i="3"/>
  <c r="L48" i="3"/>
  <c r="P23" i="2" l="1"/>
  <c r="P33" i="2" s="1"/>
  <c r="P41" i="2" s="1"/>
  <c r="P24" i="2"/>
  <c r="P34" i="2" s="1"/>
  <c r="P42" i="2" s="1"/>
  <c r="P25" i="2"/>
  <c r="P35" i="2" s="1"/>
  <c r="P43" i="2" s="1"/>
  <c r="P26" i="2"/>
  <c r="P36" i="2" s="1"/>
  <c r="P44" i="2" s="1"/>
  <c r="P20" i="2"/>
  <c r="P93" i="1"/>
  <c r="P21" i="2"/>
  <c r="P31" i="2" s="1"/>
  <c r="P39" i="2" s="1"/>
  <c r="P22" i="2"/>
  <c r="P32" i="2" s="1"/>
  <c r="P40" i="2" s="1"/>
  <c r="K109" i="1"/>
  <c r="L10" i="3"/>
  <c r="L11" i="3" s="1"/>
  <c r="L32" i="3" s="1"/>
  <c r="N25" i="3"/>
  <c r="N44" i="3" s="1"/>
  <c r="K61" i="3"/>
  <c r="K81" i="3"/>
  <c r="K77" i="3"/>
  <c r="K73" i="3"/>
  <c r="K34" i="3"/>
  <c r="K65" i="3"/>
  <c r="M14" i="3"/>
  <c r="N23" i="3"/>
  <c r="N28" i="3" s="1"/>
  <c r="L57" i="3"/>
  <c r="O30" i="2"/>
  <c r="O38" i="2" s="1"/>
  <c r="O5" i="3" s="1"/>
  <c r="O69" i="2"/>
  <c r="O59" i="2"/>
  <c r="O26" i="3"/>
  <c r="O25" i="3"/>
  <c r="O44" i="3" s="1"/>
  <c r="O27" i="3"/>
  <c r="O45" i="3" s="1"/>
  <c r="O54" i="3" s="1"/>
  <c r="O24" i="3"/>
  <c r="M54" i="3"/>
  <c r="N55" i="3"/>
  <c r="N60" i="2"/>
  <c r="N63" i="2" s="1"/>
  <c r="N70" i="2"/>
  <c r="N24" i="3"/>
  <c r="M53" i="3"/>
  <c r="M56" i="3" s="1"/>
  <c r="M46" i="3"/>
  <c r="M75" i="2"/>
  <c r="M9" i="3"/>
  <c r="N27" i="3"/>
  <c r="N45" i="3" s="1"/>
  <c r="N54" i="3" s="1"/>
  <c r="N30" i="3"/>
  <c r="G74" i="3"/>
  <c r="F75" i="3"/>
  <c r="F76" i="3" s="1"/>
  <c r="G62" i="3"/>
  <c r="F63" i="3"/>
  <c r="F64" i="3" s="1"/>
  <c r="G82" i="3"/>
  <c r="F83" i="3"/>
  <c r="F84" i="3" s="1"/>
  <c r="F37" i="3"/>
  <c r="E38" i="3"/>
  <c r="G78" i="3"/>
  <c r="F79" i="3"/>
  <c r="I73" i="2"/>
  <c r="I74" i="2"/>
  <c r="J61" i="2"/>
  <c r="E71" i="3"/>
  <c r="F70" i="3"/>
  <c r="F67" i="3"/>
  <c r="F68" i="3" s="1"/>
  <c r="G66" i="3"/>
  <c r="M48" i="3"/>
  <c r="L50" i="3"/>
  <c r="P69" i="2" l="1"/>
  <c r="P59" i="2"/>
  <c r="P30" i="2"/>
  <c r="P38" i="2" s="1"/>
  <c r="P27" i="3"/>
  <c r="P45" i="3" s="1"/>
  <c r="P54" i="3" s="1"/>
  <c r="P26" i="3"/>
  <c r="P24" i="3"/>
  <c r="P23" i="3"/>
  <c r="P30" i="3"/>
  <c r="P25" i="3"/>
  <c r="P44" i="3" s="1"/>
  <c r="O46" i="3"/>
  <c r="O53" i="3"/>
  <c r="O55" i="3"/>
  <c r="O60" i="2"/>
  <c r="O63" i="2" s="1"/>
  <c r="O70" i="2"/>
  <c r="M10" i="3"/>
  <c r="M11" i="3" s="1"/>
  <c r="M32" i="3" s="1"/>
  <c r="L109" i="1"/>
  <c r="L73" i="3"/>
  <c r="L34" i="3"/>
  <c r="L69" i="3" s="1"/>
  <c r="L77" i="3"/>
  <c r="L61" i="3"/>
  <c r="L65" i="3"/>
  <c r="L81" i="3"/>
  <c r="N14" i="3"/>
  <c r="K69" i="3"/>
  <c r="Q26" i="2"/>
  <c r="Q36" i="2" s="1"/>
  <c r="Q44" i="2" s="1"/>
  <c r="Q21" i="2"/>
  <c r="Q31" i="2" s="1"/>
  <c r="Q39" i="2" s="1"/>
  <c r="Q20" i="2"/>
  <c r="Q22" i="2"/>
  <c r="Q32" i="2" s="1"/>
  <c r="Q40" i="2" s="1"/>
  <c r="Q23" i="2"/>
  <c r="Q33" i="2" s="1"/>
  <c r="Q41" i="2" s="1"/>
  <c r="Q24" i="2"/>
  <c r="Q34" i="2" s="1"/>
  <c r="Q42" i="2" s="1"/>
  <c r="Q93" i="1"/>
  <c r="Q25" i="2"/>
  <c r="Q35" i="2" s="1"/>
  <c r="Q43" i="2" s="1"/>
  <c r="N9" i="3"/>
  <c r="N75" i="2"/>
  <c r="O22" i="3"/>
  <c r="O29" i="3" s="1"/>
  <c r="M57" i="3"/>
  <c r="N57" i="3" s="1"/>
  <c r="N46" i="3"/>
  <c r="N53" i="3"/>
  <c r="N56" i="3" s="1"/>
  <c r="O30" i="3"/>
  <c r="O23" i="3"/>
  <c r="O28" i="3" s="1"/>
  <c r="N49" i="3"/>
  <c r="O49" i="3" s="1"/>
  <c r="P49" i="3" s="1"/>
  <c r="H74" i="3"/>
  <c r="G75" i="3"/>
  <c r="G76" i="3" s="1"/>
  <c r="G70" i="3"/>
  <c r="F71" i="3"/>
  <c r="F72" i="3" s="1"/>
  <c r="F38" i="3"/>
  <c r="F39" i="3" s="1"/>
  <c r="G37" i="3"/>
  <c r="G63" i="3"/>
  <c r="G64" i="3" s="1"/>
  <c r="H62" i="3"/>
  <c r="F80" i="3"/>
  <c r="G67" i="3"/>
  <c r="G68" i="3" s="1"/>
  <c r="H66" i="3"/>
  <c r="J74" i="2"/>
  <c r="K61" i="2"/>
  <c r="J73" i="2"/>
  <c r="H78" i="3"/>
  <c r="G79" i="3"/>
  <c r="G80" i="3" s="1"/>
  <c r="H82" i="3"/>
  <c r="G83" i="3"/>
  <c r="G84" i="3" s="1"/>
  <c r="N48" i="3"/>
  <c r="M50" i="3"/>
  <c r="Q59" i="2" l="1"/>
  <c r="Q30" i="2"/>
  <c r="Q38" i="2" s="1"/>
  <c r="Q5" i="3" s="1"/>
  <c r="Q69" i="2"/>
  <c r="Q22" i="3"/>
  <c r="Q29" i="3" s="1"/>
  <c r="Q27" i="3"/>
  <c r="Q45" i="3" s="1"/>
  <c r="Q49" i="3" s="1"/>
  <c r="Q24" i="3"/>
  <c r="Q23" i="3"/>
  <c r="Q28" i="3" s="1"/>
  <c r="Q26" i="3"/>
  <c r="Q30" i="3"/>
  <c r="Q25" i="3"/>
  <c r="Q44" i="3" s="1"/>
  <c r="P53" i="3"/>
  <c r="P46" i="3"/>
  <c r="M65" i="3"/>
  <c r="M77" i="3"/>
  <c r="M73" i="3"/>
  <c r="M61" i="3"/>
  <c r="M34" i="3"/>
  <c r="M69" i="3" s="1"/>
  <c r="M81" i="3"/>
  <c r="R93" i="1"/>
  <c r="R21" i="2"/>
  <c r="R31" i="2" s="1"/>
  <c r="R39" i="2" s="1"/>
  <c r="R22" i="2"/>
  <c r="R32" i="2" s="1"/>
  <c r="R40" i="2" s="1"/>
  <c r="R23" i="2"/>
  <c r="R33" i="2" s="1"/>
  <c r="R41" i="2" s="1"/>
  <c r="R20" i="2"/>
  <c r="R24" i="2"/>
  <c r="R34" i="2" s="1"/>
  <c r="R42" i="2" s="1"/>
  <c r="R25" i="2"/>
  <c r="R35" i="2" s="1"/>
  <c r="R43" i="2" s="1"/>
  <c r="R26" i="2"/>
  <c r="R36" i="2" s="1"/>
  <c r="R44" i="2" s="1"/>
  <c r="O75" i="2"/>
  <c r="O9" i="3"/>
  <c r="P22" i="3"/>
  <c r="P29" i="3" s="1"/>
  <c r="P5" i="3"/>
  <c r="P70" i="2"/>
  <c r="P55" i="3"/>
  <c r="P60" i="2"/>
  <c r="P63" i="2" s="1"/>
  <c r="O56" i="3"/>
  <c r="O57" i="3"/>
  <c r="P28" i="3"/>
  <c r="M109" i="1"/>
  <c r="N10" i="3"/>
  <c r="N11" i="3" s="1"/>
  <c r="N32" i="3" s="1"/>
  <c r="H75" i="3"/>
  <c r="H76" i="3" s="1"/>
  <c r="I74" i="3"/>
  <c r="K74" i="2"/>
  <c r="L61" i="2"/>
  <c r="K73" i="2"/>
  <c r="G38" i="3"/>
  <c r="G39" i="3" s="1"/>
  <c r="H37" i="3"/>
  <c r="H83" i="3"/>
  <c r="H84" i="3" s="1"/>
  <c r="I82" i="3"/>
  <c r="H70" i="3"/>
  <c r="G71" i="3"/>
  <c r="G72" i="3" s="1"/>
  <c r="H79" i="3"/>
  <c r="H80" i="3" s="1"/>
  <c r="I78" i="3"/>
  <c r="H67" i="3"/>
  <c r="H68" i="3" s="1"/>
  <c r="I66" i="3"/>
  <c r="I62" i="3"/>
  <c r="H63" i="3"/>
  <c r="H64" i="3" s="1"/>
  <c r="N50" i="3"/>
  <c r="O48" i="3"/>
  <c r="N109" i="1" l="1"/>
  <c r="O10" i="3"/>
  <c r="O11" i="3" s="1"/>
  <c r="O32" i="3" s="1"/>
  <c r="Q53" i="3"/>
  <c r="Q56" i="3" s="1"/>
  <c r="Q46" i="3"/>
  <c r="P9" i="3"/>
  <c r="P75" i="2"/>
  <c r="Q14" i="3"/>
  <c r="R30" i="2"/>
  <c r="R38" i="2" s="1"/>
  <c r="R69" i="2"/>
  <c r="R59" i="2"/>
  <c r="R26" i="3"/>
  <c r="R25" i="3"/>
  <c r="R44" i="3" s="1"/>
  <c r="R30" i="3"/>
  <c r="R24" i="3"/>
  <c r="R22" i="3"/>
  <c r="R29" i="3" s="1"/>
  <c r="R23" i="3"/>
  <c r="R28" i="3" s="1"/>
  <c r="R27" i="3"/>
  <c r="R45" i="3" s="1"/>
  <c r="R54" i="3" s="1"/>
  <c r="Q54" i="3"/>
  <c r="R5" i="3"/>
  <c r="N73" i="3"/>
  <c r="N77" i="3"/>
  <c r="N65" i="3"/>
  <c r="N34" i="3"/>
  <c r="N61" i="3"/>
  <c r="N81" i="3"/>
  <c r="P14" i="3"/>
  <c r="O14" i="3"/>
  <c r="S22" i="2"/>
  <c r="S32" i="2" s="1"/>
  <c r="S93" i="1"/>
  <c r="S23" i="2"/>
  <c r="S33" i="2" s="1"/>
  <c r="S41" i="2" s="1"/>
  <c r="S24" i="2"/>
  <c r="S34" i="2" s="1"/>
  <c r="S42" i="2" s="1"/>
  <c r="S20" i="2"/>
  <c r="S25" i="2"/>
  <c r="S35" i="2" s="1"/>
  <c r="S43" i="2" s="1"/>
  <c r="S26" i="2"/>
  <c r="S36" i="2" s="1"/>
  <c r="S44" i="2" s="1"/>
  <c r="S21" i="2"/>
  <c r="S31" i="2" s="1"/>
  <c r="S39" i="2" s="1"/>
  <c r="P56" i="3"/>
  <c r="P57" i="3" s="1"/>
  <c r="Q57" i="3" s="1"/>
  <c r="Q70" i="2"/>
  <c r="Q55" i="3"/>
  <c r="Q60" i="2"/>
  <c r="Q63" i="2" s="1"/>
  <c r="J74" i="3"/>
  <c r="I75" i="3"/>
  <c r="I76" i="3" s="1"/>
  <c r="I67" i="3"/>
  <c r="I68" i="3" s="1"/>
  <c r="J66" i="3"/>
  <c r="H38" i="3"/>
  <c r="H39" i="3" s="1"/>
  <c r="I37" i="3"/>
  <c r="J82" i="3"/>
  <c r="I83" i="3"/>
  <c r="I84" i="3" s="1"/>
  <c r="L74" i="2"/>
  <c r="M61" i="2"/>
  <c r="L73" i="2"/>
  <c r="H71" i="3"/>
  <c r="H72" i="3" s="1"/>
  <c r="I70" i="3"/>
  <c r="I79" i="3"/>
  <c r="I80" i="3" s="1"/>
  <c r="J78" i="3"/>
  <c r="J62" i="3"/>
  <c r="I63" i="3"/>
  <c r="I64" i="3" s="1"/>
  <c r="O50" i="3"/>
  <c r="P48" i="3"/>
  <c r="N69" i="3" l="1"/>
  <c r="O109" i="1"/>
  <c r="P10" i="3"/>
  <c r="P11" i="3" s="1"/>
  <c r="P32" i="3" s="1"/>
  <c r="S30" i="2"/>
  <c r="S38" i="2" s="1"/>
  <c r="S5" i="3" s="1"/>
  <c r="S69" i="2"/>
  <c r="S59" i="2"/>
  <c r="S26" i="3"/>
  <c r="S23" i="3"/>
  <c r="S28" i="3" s="1"/>
  <c r="S40" i="2"/>
  <c r="S22" i="3" s="1"/>
  <c r="S29" i="3" s="1"/>
  <c r="R53" i="3"/>
  <c r="R56" i="3" s="1"/>
  <c r="R57" i="3" s="1"/>
  <c r="R46" i="3"/>
  <c r="Q75" i="2"/>
  <c r="Q9" i="3"/>
  <c r="T23" i="2"/>
  <c r="T33" i="2" s="1"/>
  <c r="T41" i="2" s="1"/>
  <c r="T24" i="2"/>
  <c r="T34" i="2" s="1"/>
  <c r="T42" i="2" s="1"/>
  <c r="T93" i="1"/>
  <c r="T20" i="2"/>
  <c r="T25" i="2"/>
  <c r="T35" i="2" s="1"/>
  <c r="T43" i="2" s="1"/>
  <c r="T26" i="2"/>
  <c r="T36" i="2" s="1"/>
  <c r="T44" i="2" s="1"/>
  <c r="T21" i="2"/>
  <c r="T31" i="2" s="1"/>
  <c r="T39" i="2" s="1"/>
  <c r="T22" i="2"/>
  <c r="T32" i="2" s="1"/>
  <c r="T40" i="2" s="1"/>
  <c r="R55" i="3"/>
  <c r="R70" i="2"/>
  <c r="R60" i="2"/>
  <c r="R63" i="2" s="1"/>
  <c r="O65" i="3"/>
  <c r="O77" i="3"/>
  <c r="O81" i="3"/>
  <c r="O61" i="3"/>
  <c r="O73" i="3"/>
  <c r="O34" i="3"/>
  <c r="O69" i="3" s="1"/>
  <c r="R49" i="3"/>
  <c r="K74" i="3"/>
  <c r="J75" i="3"/>
  <c r="J76" i="3" s="1"/>
  <c r="J83" i="3"/>
  <c r="J84" i="3" s="1"/>
  <c r="K82" i="3"/>
  <c r="M74" i="2"/>
  <c r="M73" i="2"/>
  <c r="N61" i="2"/>
  <c r="I38" i="3"/>
  <c r="I39" i="3" s="1"/>
  <c r="J37" i="3"/>
  <c r="J63" i="3"/>
  <c r="J64" i="3" s="1"/>
  <c r="K62" i="3"/>
  <c r="K66" i="3"/>
  <c r="J67" i="3"/>
  <c r="J68" i="3" s="1"/>
  <c r="J79" i="3"/>
  <c r="J80" i="3" s="1"/>
  <c r="K78" i="3"/>
  <c r="I71" i="3"/>
  <c r="I72" i="3" s="1"/>
  <c r="J70" i="3"/>
  <c r="P50" i="3"/>
  <c r="Q48" i="3"/>
  <c r="S70" i="2" l="1"/>
  <c r="S55" i="3"/>
  <c r="S60" i="2"/>
  <c r="S63" i="2" s="1"/>
  <c r="T30" i="2"/>
  <c r="T38" i="2" s="1"/>
  <c r="T5" i="3" s="1"/>
  <c r="T69" i="2"/>
  <c r="T59" i="2"/>
  <c r="T22" i="3"/>
  <c r="T29" i="3" s="1"/>
  <c r="T26" i="3"/>
  <c r="R14" i="3"/>
  <c r="S14" i="3"/>
  <c r="U20" i="2"/>
  <c r="U25" i="2"/>
  <c r="U35" i="2" s="1"/>
  <c r="U43" i="2" s="1"/>
  <c r="U26" i="2"/>
  <c r="U36" i="2" s="1"/>
  <c r="U44" i="2" s="1"/>
  <c r="U93" i="1"/>
  <c r="U21" i="2"/>
  <c r="U31" i="2" s="1"/>
  <c r="U39" i="2" s="1"/>
  <c r="U22" i="2"/>
  <c r="U32" i="2" s="1"/>
  <c r="U40" i="2" s="1"/>
  <c r="U23" i="2"/>
  <c r="U33" i="2" s="1"/>
  <c r="U41" i="2" s="1"/>
  <c r="U24" i="2"/>
  <c r="U34" i="2" s="1"/>
  <c r="U42" i="2" s="1"/>
  <c r="P73" i="3"/>
  <c r="P61" i="3"/>
  <c r="P77" i="3"/>
  <c r="P34" i="3"/>
  <c r="P69" i="3" s="1"/>
  <c r="P65" i="3"/>
  <c r="P81" i="3"/>
  <c r="P109" i="1"/>
  <c r="Q10" i="3"/>
  <c r="Q11" i="3" s="1"/>
  <c r="Q32" i="3" s="1"/>
  <c r="S30" i="3"/>
  <c r="S24" i="3"/>
  <c r="R75" i="2"/>
  <c r="R9" i="3"/>
  <c r="S27" i="3"/>
  <c r="S45" i="3" s="1"/>
  <c r="S54" i="3" s="1"/>
  <c r="S25" i="3"/>
  <c r="S44" i="3" s="1"/>
  <c r="K75" i="3"/>
  <c r="K76" i="3" s="1"/>
  <c r="L74" i="3"/>
  <c r="L62" i="3"/>
  <c r="K63" i="3"/>
  <c r="K64" i="3" s="1"/>
  <c r="O61" i="2"/>
  <c r="N74" i="2"/>
  <c r="N73" i="2"/>
  <c r="L66" i="3"/>
  <c r="K67" i="3"/>
  <c r="K68" i="3" s="1"/>
  <c r="L82" i="3"/>
  <c r="K83" i="3"/>
  <c r="K70" i="3"/>
  <c r="J71" i="3"/>
  <c r="J72" i="3" s="1"/>
  <c r="L78" i="3"/>
  <c r="K79" i="3"/>
  <c r="K80" i="3" s="1"/>
  <c r="J38" i="3"/>
  <c r="J39" i="3" s="1"/>
  <c r="K37" i="3"/>
  <c r="Q50" i="3"/>
  <c r="R48" i="3"/>
  <c r="T70" i="2" l="1"/>
  <c r="T60" i="2"/>
  <c r="T63" i="2" s="1"/>
  <c r="T55" i="3"/>
  <c r="S46" i="3"/>
  <c r="S53" i="3"/>
  <c r="S56" i="3" s="1"/>
  <c r="S57" i="3" s="1"/>
  <c r="R10" i="3"/>
  <c r="R11" i="3" s="1"/>
  <c r="R32" i="3" s="1"/>
  <c r="Q109" i="1"/>
  <c r="S75" i="2"/>
  <c r="S9" i="3"/>
  <c r="U59" i="2"/>
  <c r="U30" i="2"/>
  <c r="U69" i="2"/>
  <c r="T24" i="3"/>
  <c r="T30" i="3"/>
  <c r="S49" i="3"/>
  <c r="T49" i="3" s="1"/>
  <c r="T25" i="3"/>
  <c r="T44" i="3" s="1"/>
  <c r="Q65" i="3"/>
  <c r="Q81" i="3"/>
  <c r="Q61" i="3"/>
  <c r="Q77" i="3"/>
  <c r="Q73" i="3"/>
  <c r="Q34" i="3"/>
  <c r="Q69" i="3" s="1"/>
  <c r="T27" i="3"/>
  <c r="T45" i="3" s="1"/>
  <c r="T54" i="3" s="1"/>
  <c r="V20" i="2"/>
  <c r="V21" i="2"/>
  <c r="V31" i="2" s="1"/>
  <c r="V39" i="2" s="1"/>
  <c r="V93" i="1"/>
  <c r="V22" i="2"/>
  <c r="V32" i="2" s="1"/>
  <c r="V40" i="2" s="1"/>
  <c r="V23" i="2"/>
  <c r="V33" i="2" s="1"/>
  <c r="V41" i="2" s="1"/>
  <c r="V24" i="2"/>
  <c r="V34" i="2" s="1"/>
  <c r="V42" i="2" s="1"/>
  <c r="V25" i="2"/>
  <c r="V35" i="2" s="1"/>
  <c r="V43" i="2" s="1"/>
  <c r="V26" i="2"/>
  <c r="V36" i="2" s="1"/>
  <c r="V44" i="2" s="1"/>
  <c r="T23" i="3"/>
  <c r="T28" i="3" s="1"/>
  <c r="M74" i="3"/>
  <c r="L75" i="3"/>
  <c r="L76" i="3" s="1"/>
  <c r="K71" i="3"/>
  <c r="K72" i="3" s="1"/>
  <c r="L70" i="3"/>
  <c r="L67" i="3"/>
  <c r="L68" i="3" s="1"/>
  <c r="M66" i="3"/>
  <c r="K38" i="3"/>
  <c r="L37" i="3"/>
  <c r="K84" i="3"/>
  <c r="M82" i="3"/>
  <c r="L83" i="3"/>
  <c r="L84" i="3" s="1"/>
  <c r="M78" i="3"/>
  <c r="L79" i="3"/>
  <c r="L80" i="3" s="1"/>
  <c r="O74" i="2"/>
  <c r="P61" i="2"/>
  <c r="O73" i="2"/>
  <c r="L63" i="3"/>
  <c r="L64" i="3" s="1"/>
  <c r="M62" i="3"/>
  <c r="R50" i="3"/>
  <c r="S48" i="3"/>
  <c r="S10" i="3" l="1"/>
  <c r="S11" i="3" s="1"/>
  <c r="S32" i="3" s="1"/>
  <c r="R109" i="1"/>
  <c r="T53" i="3"/>
  <c r="T56" i="3" s="1"/>
  <c r="T46" i="3"/>
  <c r="V38" i="2"/>
  <c r="V5" i="3" s="1"/>
  <c r="U38" i="2"/>
  <c r="T75" i="2"/>
  <c r="T9" i="3"/>
  <c r="R34" i="3"/>
  <c r="R69" i="3" s="1"/>
  <c r="R65" i="3"/>
  <c r="R61" i="3"/>
  <c r="R81" i="3"/>
  <c r="R73" i="3"/>
  <c r="R77" i="3"/>
  <c r="W21" i="2"/>
  <c r="W31" i="2" s="1"/>
  <c r="W39" i="2" s="1"/>
  <c r="W22" i="2"/>
  <c r="W32" i="2" s="1"/>
  <c r="W40" i="2" s="1"/>
  <c r="W93" i="1"/>
  <c r="W23" i="2"/>
  <c r="W33" i="2" s="1"/>
  <c r="W41" i="2" s="1"/>
  <c r="W24" i="2"/>
  <c r="W34" i="2" s="1"/>
  <c r="W42" i="2" s="1"/>
  <c r="W25" i="2"/>
  <c r="W35" i="2" s="1"/>
  <c r="W43" i="2" s="1"/>
  <c r="W26" i="2"/>
  <c r="W36" i="2" s="1"/>
  <c r="W44" i="2" s="1"/>
  <c r="W20" i="2"/>
  <c r="T57" i="3"/>
  <c r="V30" i="2"/>
  <c r="V59" i="2"/>
  <c r="V69" i="2"/>
  <c r="V23" i="3"/>
  <c r="V28" i="3" s="1"/>
  <c r="V24" i="3"/>
  <c r="V26" i="3"/>
  <c r="U60" i="2"/>
  <c r="U63" i="2" s="1"/>
  <c r="U55" i="3"/>
  <c r="U70" i="2"/>
  <c r="N74" i="3"/>
  <c r="M75" i="3"/>
  <c r="M76" i="3" s="1"/>
  <c r="K39" i="3"/>
  <c r="M63" i="3"/>
  <c r="M64" i="3" s="1"/>
  <c r="N62" i="3"/>
  <c r="N82" i="3"/>
  <c r="M83" i="3"/>
  <c r="M84" i="3" s="1"/>
  <c r="P73" i="2"/>
  <c r="P74" i="2"/>
  <c r="Q61" i="2"/>
  <c r="N66" i="3"/>
  <c r="M67" i="3"/>
  <c r="M68" i="3" s="1"/>
  <c r="M79" i="3"/>
  <c r="N78" i="3"/>
  <c r="M37" i="3"/>
  <c r="L38" i="3"/>
  <c r="L39" i="3" s="1"/>
  <c r="M70" i="3"/>
  <c r="L71" i="3"/>
  <c r="L72" i="3" s="1"/>
  <c r="S50" i="3"/>
  <c r="T48" i="3"/>
  <c r="S109" i="1" l="1"/>
  <c r="T10" i="3"/>
  <c r="T11" i="3" s="1"/>
  <c r="T32" i="3" s="1"/>
  <c r="X21" i="2"/>
  <c r="X31" i="2" s="1"/>
  <c r="X39" i="2" s="1"/>
  <c r="X22" i="2"/>
  <c r="X32" i="2" s="1"/>
  <c r="X40" i="2" s="1"/>
  <c r="X23" i="2"/>
  <c r="X33" i="2" s="1"/>
  <c r="X41" i="2" s="1"/>
  <c r="X24" i="2"/>
  <c r="X34" i="2" s="1"/>
  <c r="X42" i="2" s="1"/>
  <c r="X93" i="1"/>
  <c r="X25" i="2"/>
  <c r="X35" i="2" s="1"/>
  <c r="X43" i="2" s="1"/>
  <c r="X26" i="2"/>
  <c r="X36" i="2" s="1"/>
  <c r="X44" i="2" s="1"/>
  <c r="X20" i="2"/>
  <c r="U5" i="3"/>
  <c r="U25" i="3"/>
  <c r="U44" i="3" s="1"/>
  <c r="U23" i="3"/>
  <c r="U28" i="3" s="1"/>
  <c r="U24" i="3"/>
  <c r="U22" i="3"/>
  <c r="U29" i="3" s="1"/>
  <c r="U27" i="3"/>
  <c r="U45" i="3" s="1"/>
  <c r="U26" i="3"/>
  <c r="U30" i="3"/>
  <c r="V70" i="2"/>
  <c r="V60" i="2"/>
  <c r="V63" i="2" s="1"/>
  <c r="V55" i="3"/>
  <c r="W30" i="2"/>
  <c r="W38" i="2" s="1"/>
  <c r="W5" i="3" s="1"/>
  <c r="W69" i="2"/>
  <c r="W59" i="2"/>
  <c r="W26" i="3"/>
  <c r="W22" i="3"/>
  <c r="W29" i="3" s="1"/>
  <c r="W23" i="3"/>
  <c r="W28" i="3" s="1"/>
  <c r="W27" i="3"/>
  <c r="W45" i="3" s="1"/>
  <c r="W54" i="3" s="1"/>
  <c r="W30" i="3"/>
  <c r="W25" i="3"/>
  <c r="W44" i="3" s="1"/>
  <c r="V30" i="3"/>
  <c r="V14" i="3"/>
  <c r="U75" i="2"/>
  <c r="U9" i="3"/>
  <c r="V27" i="3"/>
  <c r="V45" i="3" s="1"/>
  <c r="V54" i="3" s="1"/>
  <c r="V25" i="3"/>
  <c r="V44" i="3" s="1"/>
  <c r="V22" i="3"/>
  <c r="V29" i="3" s="1"/>
  <c r="S81" i="3"/>
  <c r="S65" i="3"/>
  <c r="S73" i="3"/>
  <c r="S61" i="3"/>
  <c r="S34" i="3"/>
  <c r="S69" i="3" s="1"/>
  <c r="S77" i="3"/>
  <c r="N75" i="3"/>
  <c r="N76" i="3" s="1"/>
  <c r="O74" i="3"/>
  <c r="N79" i="3"/>
  <c r="N80" i="3" s="1"/>
  <c r="O78" i="3"/>
  <c r="Q74" i="2"/>
  <c r="R61" i="2"/>
  <c r="Q73" i="2"/>
  <c r="N83" i="3"/>
  <c r="N84" i="3" s="1"/>
  <c r="O82" i="3"/>
  <c r="M71" i="3"/>
  <c r="M72" i="3" s="1"/>
  <c r="N70" i="3"/>
  <c r="M80" i="3"/>
  <c r="N63" i="3"/>
  <c r="N64" i="3" s="1"/>
  <c r="O62" i="3"/>
  <c r="M38" i="3"/>
  <c r="N37" i="3"/>
  <c r="N67" i="3"/>
  <c r="N68" i="3" s="1"/>
  <c r="O66" i="3"/>
  <c r="T50" i="3"/>
  <c r="U48" i="3"/>
  <c r="X30" i="2" l="1"/>
  <c r="X38" i="2" s="1"/>
  <c r="X5" i="3" s="1"/>
  <c r="X59" i="2"/>
  <c r="X69" i="2"/>
  <c r="X26" i="3"/>
  <c r="X23" i="3"/>
  <c r="X28" i="3" s="1"/>
  <c r="X25" i="3"/>
  <c r="X44" i="3" s="1"/>
  <c r="X22" i="3"/>
  <c r="X29" i="3" s="1"/>
  <c r="X30" i="3"/>
  <c r="X24" i="3"/>
  <c r="X27" i="3"/>
  <c r="X45" i="3" s="1"/>
  <c r="X54" i="3" s="1"/>
  <c r="V46" i="3"/>
  <c r="V53" i="3"/>
  <c r="V56" i="3" s="1"/>
  <c r="W46" i="3"/>
  <c r="W53" i="3"/>
  <c r="V9" i="3"/>
  <c r="V75" i="2"/>
  <c r="U10" i="3"/>
  <c r="U11" i="3" s="1"/>
  <c r="U32" i="3" s="1"/>
  <c r="T109" i="1"/>
  <c r="U46" i="3"/>
  <c r="U53" i="3"/>
  <c r="U56" i="3" s="1"/>
  <c r="U57" i="3" s="1"/>
  <c r="V57" i="3" s="1"/>
  <c r="T61" i="3"/>
  <c r="T34" i="3"/>
  <c r="T69" i="3" s="1"/>
  <c r="T65" i="3"/>
  <c r="T77" i="3"/>
  <c r="T73" i="3"/>
  <c r="T81" i="3"/>
  <c r="Y22" i="2"/>
  <c r="Y32" i="2" s="1"/>
  <c r="Y23" i="2"/>
  <c r="Y33" i="2" s="1"/>
  <c r="Y24" i="2"/>
  <c r="Y34" i="2" s="1"/>
  <c r="Y25" i="2"/>
  <c r="Y35" i="2" s="1"/>
  <c r="Y26" i="2"/>
  <c r="Y36" i="2" s="1"/>
  <c r="Y20" i="2"/>
  <c r="Y21" i="2"/>
  <c r="Y31" i="2" s="1"/>
  <c r="U54" i="3"/>
  <c r="U49" i="3"/>
  <c r="V49" i="3" s="1"/>
  <c r="W49" i="3" s="1"/>
  <c r="W55" i="3"/>
  <c r="W70" i="2"/>
  <c r="W60" i="2"/>
  <c r="W63" i="2" s="1"/>
  <c r="W24" i="3"/>
  <c r="U14" i="3"/>
  <c r="T14" i="3"/>
  <c r="O75" i="3"/>
  <c r="O76" i="3" s="1"/>
  <c r="P74" i="3"/>
  <c r="M39" i="3"/>
  <c r="O79" i="3"/>
  <c r="O80" i="3" s="1"/>
  <c r="P78" i="3"/>
  <c r="O67" i="3"/>
  <c r="O68" i="3" s="1"/>
  <c r="P66" i="3"/>
  <c r="O63" i="3"/>
  <c r="O64" i="3" s="1"/>
  <c r="P62" i="3"/>
  <c r="N71" i="3"/>
  <c r="N72" i="3" s="1"/>
  <c r="O70" i="3"/>
  <c r="S61" i="2"/>
  <c r="R73" i="2"/>
  <c r="R74" i="2"/>
  <c r="O37" i="3"/>
  <c r="N38" i="3"/>
  <c r="N39" i="3" s="1"/>
  <c r="P82" i="3"/>
  <c r="O83" i="3"/>
  <c r="O84" i="3" s="1"/>
  <c r="U50" i="3"/>
  <c r="V48" i="3"/>
  <c r="W75" i="2" l="1"/>
  <c r="W9" i="3"/>
  <c r="Y43" i="2"/>
  <c r="Z35" i="2"/>
  <c r="W57" i="3"/>
  <c r="Z34" i="2"/>
  <c r="Y42" i="2"/>
  <c r="X49" i="3"/>
  <c r="U109" i="1"/>
  <c r="V10" i="3"/>
  <c r="V11" i="3" s="1"/>
  <c r="V32" i="3" s="1"/>
  <c r="W56" i="3"/>
  <c r="Y69" i="2"/>
  <c r="Y59" i="2"/>
  <c r="Y30" i="2"/>
  <c r="Z30" i="2" s="1"/>
  <c r="Y38" i="2" s="1"/>
  <c r="Y30" i="3"/>
  <c r="X70" i="2"/>
  <c r="X55" i="3"/>
  <c r="X60" i="2"/>
  <c r="X63" i="2" s="1"/>
  <c r="Z33" i="2"/>
  <c r="Y41" i="2"/>
  <c r="Z32" i="2"/>
  <c r="Y40" i="2"/>
  <c r="Y25" i="3" s="1"/>
  <c r="Y44" i="3" s="1"/>
  <c r="U77" i="3"/>
  <c r="U81" i="3"/>
  <c r="U34" i="3"/>
  <c r="U69" i="3" s="1"/>
  <c r="U61" i="3"/>
  <c r="U73" i="3"/>
  <c r="U65" i="3"/>
  <c r="X46" i="3"/>
  <c r="X53" i="3"/>
  <c r="X56" i="3" s="1"/>
  <c r="Y39" i="2"/>
  <c r="Y23" i="3" s="1"/>
  <c r="Z31" i="2"/>
  <c r="Y44" i="2"/>
  <c r="Y24" i="3" s="1"/>
  <c r="Z36" i="2"/>
  <c r="W14" i="3"/>
  <c r="P75" i="3"/>
  <c r="P76" i="3" s="1"/>
  <c r="Q74" i="3"/>
  <c r="O38" i="3"/>
  <c r="O39" i="3" s="1"/>
  <c r="P37" i="3"/>
  <c r="P83" i="3"/>
  <c r="P84" i="3" s="1"/>
  <c r="Q82" i="3"/>
  <c r="P63" i="3"/>
  <c r="P64" i="3" s="1"/>
  <c r="Q62" i="3"/>
  <c r="P79" i="3"/>
  <c r="Q78" i="3"/>
  <c r="O71" i="3"/>
  <c r="O72" i="3" s="1"/>
  <c r="P70" i="3"/>
  <c r="Q66" i="3"/>
  <c r="P67" i="3"/>
  <c r="P68" i="3" s="1"/>
  <c r="S74" i="2"/>
  <c r="S73" i="2"/>
  <c r="T61" i="2"/>
  <c r="V50" i="3"/>
  <c r="W48" i="3"/>
  <c r="Y53" i="3" l="1"/>
  <c r="F10" i="6"/>
  <c r="Y28" i="3"/>
  <c r="V61" i="3"/>
  <c r="V73" i="3"/>
  <c r="V34" i="3"/>
  <c r="V69" i="3" s="1"/>
  <c r="V77" i="3"/>
  <c r="V65" i="3"/>
  <c r="V81" i="3"/>
  <c r="Y26" i="3"/>
  <c r="X75" i="2"/>
  <c r="X9" i="3"/>
  <c r="Y55" i="3"/>
  <c r="Y60" i="2"/>
  <c r="Y63" i="2" s="1"/>
  <c r="Y70" i="2"/>
  <c r="W10" i="3"/>
  <c r="W11" i="3" s="1"/>
  <c r="W32" i="3" s="1"/>
  <c r="V109" i="1"/>
  <c r="Y27" i="3"/>
  <c r="Y45" i="3" s="1"/>
  <c r="Y49" i="3" s="1"/>
  <c r="X57" i="3"/>
  <c r="Y5" i="3"/>
  <c r="Y22" i="3"/>
  <c r="Y29" i="3" s="1"/>
  <c r="R74" i="3"/>
  <c r="Q75" i="3"/>
  <c r="Q76" i="3" s="1"/>
  <c r="Q63" i="3"/>
  <c r="Q64" i="3" s="1"/>
  <c r="R62" i="3"/>
  <c r="U61" i="2"/>
  <c r="T73" i="2"/>
  <c r="T74" i="2"/>
  <c r="Q79" i="3"/>
  <c r="Q80" i="3" s="1"/>
  <c r="R78" i="3"/>
  <c r="R82" i="3"/>
  <c r="Q83" i="3"/>
  <c r="Q84" i="3" s="1"/>
  <c r="P71" i="3"/>
  <c r="P72" i="3" s="1"/>
  <c r="Q70" i="3"/>
  <c r="P38" i="3"/>
  <c r="P39" i="3" s="1"/>
  <c r="Q37" i="3"/>
  <c r="Q67" i="3"/>
  <c r="Q68" i="3" s="1"/>
  <c r="R66" i="3"/>
  <c r="P80" i="3"/>
  <c r="W50" i="3"/>
  <c r="X48" i="3"/>
  <c r="Y54" i="3" l="1"/>
  <c r="F11" i="6"/>
  <c r="F12" i="6" s="1"/>
  <c r="W81" i="3"/>
  <c r="W65" i="3"/>
  <c r="W61" i="3"/>
  <c r="W77" i="3"/>
  <c r="W34" i="3"/>
  <c r="W69" i="3" s="1"/>
  <c r="W73" i="3"/>
  <c r="Y9" i="3"/>
  <c r="Y10" i="3" s="1"/>
  <c r="Y11" i="3" s="1"/>
  <c r="Y32" i="3" s="1"/>
  <c r="Y75" i="2"/>
  <c r="Y14" i="3"/>
  <c r="X14" i="3"/>
  <c r="Y46" i="3"/>
  <c r="X10" i="3"/>
  <c r="X11" i="3" s="1"/>
  <c r="X32" i="3" s="1"/>
  <c r="W109" i="1"/>
  <c r="Y109" i="1" s="1"/>
  <c r="K13" i="6" s="1"/>
  <c r="Y56" i="3"/>
  <c r="Y57" i="3" s="1"/>
  <c r="F13" i="6" s="1"/>
  <c r="R75" i="3"/>
  <c r="R76" i="3" s="1"/>
  <c r="S74" i="3"/>
  <c r="S62" i="3"/>
  <c r="R63" i="3"/>
  <c r="R64" i="3" s="1"/>
  <c r="R83" i="3"/>
  <c r="R84" i="3" s="1"/>
  <c r="S82" i="3"/>
  <c r="Q38" i="3"/>
  <c r="Q39" i="3" s="1"/>
  <c r="R37" i="3"/>
  <c r="R67" i="3"/>
  <c r="R68" i="3" s="1"/>
  <c r="S66" i="3"/>
  <c r="Q71" i="3"/>
  <c r="Q72" i="3" s="1"/>
  <c r="R70" i="3"/>
  <c r="S78" i="3"/>
  <c r="R79" i="3"/>
  <c r="R80" i="3" s="1"/>
  <c r="U74" i="2"/>
  <c r="U73" i="2"/>
  <c r="V61" i="2"/>
  <c r="X50" i="3"/>
  <c r="Y48" i="3"/>
  <c r="Y50" i="3" s="1"/>
  <c r="Y65" i="3" l="1"/>
  <c r="Y34" i="3"/>
  <c r="Y73" i="3"/>
  <c r="Y77" i="3"/>
  <c r="Y81" i="3"/>
  <c r="Y61" i="3"/>
  <c r="X77" i="3"/>
  <c r="X65" i="3"/>
  <c r="X34" i="3"/>
  <c r="X69" i="3" s="1"/>
  <c r="X73" i="3"/>
  <c r="X61" i="3"/>
  <c r="X81" i="3"/>
  <c r="S75" i="3"/>
  <c r="S76" i="3" s="1"/>
  <c r="T74" i="3"/>
  <c r="R71" i="3"/>
  <c r="R72" i="3" s="1"/>
  <c r="S70" i="3"/>
  <c r="S37" i="3"/>
  <c r="R38" i="3"/>
  <c r="R39" i="3" s="1"/>
  <c r="T62" i="3"/>
  <c r="S63" i="3"/>
  <c r="S64" i="3" s="1"/>
  <c r="T66" i="3"/>
  <c r="S67" i="3"/>
  <c r="S68" i="3" s="1"/>
  <c r="T82" i="3"/>
  <c r="S83" i="3"/>
  <c r="S84" i="3" s="1"/>
  <c r="V74" i="2"/>
  <c r="W61" i="2"/>
  <c r="V73" i="2"/>
  <c r="T78" i="3"/>
  <c r="S79" i="3"/>
  <c r="S80" i="3" s="1"/>
  <c r="Y69" i="3" l="1"/>
  <c r="E35" i="3"/>
  <c r="F5" i="6" s="1"/>
  <c r="T75" i="3"/>
  <c r="T76" i="3" s="1"/>
  <c r="U74" i="3"/>
  <c r="T79" i="3"/>
  <c r="T80" i="3" s="1"/>
  <c r="U78" i="3"/>
  <c r="U82" i="3"/>
  <c r="T83" i="3"/>
  <c r="T84" i="3" s="1"/>
  <c r="T63" i="3"/>
  <c r="T64" i="3" s="1"/>
  <c r="U62" i="3"/>
  <c r="X61" i="2"/>
  <c r="W73" i="2"/>
  <c r="W74" i="2"/>
  <c r="S71" i="3"/>
  <c r="S72" i="3" s="1"/>
  <c r="T70" i="3"/>
  <c r="U66" i="3"/>
  <c r="T67" i="3"/>
  <c r="T68" i="3" s="1"/>
  <c r="T37" i="3"/>
  <c r="S38" i="3"/>
  <c r="S39" i="3" s="1"/>
  <c r="U75" i="3" l="1"/>
  <c r="U76" i="3" s="1"/>
  <c r="V74" i="3"/>
  <c r="V78" i="3"/>
  <c r="U79" i="3"/>
  <c r="U80" i="3" s="1"/>
  <c r="V66" i="3"/>
  <c r="U67" i="3"/>
  <c r="U68" i="3" s="1"/>
  <c r="T38" i="3"/>
  <c r="T39" i="3" s="1"/>
  <c r="U37" i="3"/>
  <c r="U63" i="3"/>
  <c r="U64" i="3" s="1"/>
  <c r="V62" i="3"/>
  <c r="U70" i="3"/>
  <c r="T71" i="3"/>
  <c r="T72" i="3" s="1"/>
  <c r="X73" i="2"/>
  <c r="Y61" i="2"/>
  <c r="X74" i="2"/>
  <c r="V82" i="3"/>
  <c r="U83" i="3"/>
  <c r="U84" i="3" s="1"/>
  <c r="W74" i="3" l="1"/>
  <c r="V75" i="3"/>
  <c r="V76" i="3" s="1"/>
  <c r="V83" i="3"/>
  <c r="V84" i="3" s="1"/>
  <c r="W82" i="3"/>
  <c r="U71" i="3"/>
  <c r="U72" i="3" s="1"/>
  <c r="V70" i="3"/>
  <c r="W78" i="3"/>
  <c r="V79" i="3"/>
  <c r="V80" i="3" s="1"/>
  <c r="Y74" i="2"/>
  <c r="Y73" i="2"/>
  <c r="W62" i="3"/>
  <c r="V63" i="3"/>
  <c r="V64" i="3" s="1"/>
  <c r="V37" i="3"/>
  <c r="U38" i="3"/>
  <c r="W66" i="3"/>
  <c r="V67" i="3"/>
  <c r="V68" i="3" s="1"/>
  <c r="W75" i="3" l="1"/>
  <c r="W76" i="3" s="1"/>
  <c r="X74" i="3"/>
  <c r="W67" i="3"/>
  <c r="W68" i="3" s="1"/>
  <c r="X66" i="3"/>
  <c r="X62" i="3"/>
  <c r="W63" i="3"/>
  <c r="W64" i="3" s="1"/>
  <c r="W83" i="3"/>
  <c r="W84" i="3" s="1"/>
  <c r="X82" i="3"/>
  <c r="W79" i="3"/>
  <c r="X78" i="3"/>
  <c r="W37" i="3"/>
  <c r="V38" i="3"/>
  <c r="W70" i="3"/>
  <c r="V71" i="3"/>
  <c r="V72" i="3" s="1"/>
  <c r="U39" i="3"/>
  <c r="Y74" i="3" l="1"/>
  <c r="Y75" i="3" s="1"/>
  <c r="X75" i="3"/>
  <c r="X37" i="3"/>
  <c r="W38" i="3"/>
  <c r="X79" i="3"/>
  <c r="X80" i="3" s="1"/>
  <c r="Y78" i="3"/>
  <c r="Y79" i="3" s="1"/>
  <c r="X70" i="3"/>
  <c r="W71" i="3"/>
  <c r="W72" i="3" s="1"/>
  <c r="W80" i="3"/>
  <c r="X83" i="3"/>
  <c r="Y82" i="3"/>
  <c r="Y83" i="3" s="1"/>
  <c r="X67" i="3"/>
  <c r="Y66" i="3"/>
  <c r="Y67" i="3" s="1"/>
  <c r="V39" i="3"/>
  <c r="Y62" i="3"/>
  <c r="Y63" i="3" s="1"/>
  <c r="X63" i="3"/>
  <c r="Y76" i="3" l="1"/>
  <c r="X76" i="3"/>
  <c r="Y80" i="3"/>
  <c r="D80" i="3" s="1"/>
  <c r="C91" i="3" s="1"/>
  <c r="W39" i="3"/>
  <c r="Y84" i="3"/>
  <c r="X84" i="3"/>
  <c r="Y70" i="3"/>
  <c r="Y71" i="3" s="1"/>
  <c r="X71" i="3"/>
  <c r="Y64" i="3"/>
  <c r="X64" i="3"/>
  <c r="X68" i="3"/>
  <c r="Y68" i="3"/>
  <c r="X38" i="3"/>
  <c r="Y37" i="3"/>
  <c r="Y38" i="3" s="1"/>
  <c r="D76" i="3" l="1"/>
  <c r="C90" i="3" s="1"/>
  <c r="Y72" i="3"/>
  <c r="D64" i="3"/>
  <c r="C87" i="3" s="1"/>
  <c r="D84" i="3"/>
  <c r="C92" i="3" s="1"/>
  <c r="F7" i="6" s="1"/>
  <c r="Y39" i="3"/>
  <c r="X72" i="3"/>
  <c r="D72" i="3" s="1"/>
  <c r="C89" i="3" s="1"/>
  <c r="D68" i="3"/>
  <c r="C88" i="3" s="1"/>
  <c r="X39" i="3"/>
  <c r="D41" i="3" l="1"/>
  <c r="F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U60" authorId="0" shapeId="0" xr:uid="{00000000-0006-0000-0600-000001000000}">
      <text>
        <r>
          <rPr>
            <b/>
            <sz val="9"/>
            <color indexed="81"/>
            <rFont val="Tahoma"/>
            <family val="2"/>
          </rPr>
          <t>Windows User:</t>
        </r>
        <r>
          <rPr>
            <sz val="9"/>
            <color indexed="81"/>
            <rFont val="Tahoma"/>
            <family val="2"/>
          </rPr>
          <t xml:space="preserve">
Here the formula converts from &gt; to &gt;=. I assume this is because the tb useful life is 15 years, right, and this will remove vehicles from service at the end of their life? If so, and a tt useful life is 12 years, wouldn't this formula appear at year 12 in that scenario?</t>
        </r>
      </text>
    </comment>
  </commentList>
</comments>
</file>

<file path=xl/sharedStrings.xml><?xml version="1.0" encoding="utf-8"?>
<sst xmlns="http://schemas.openxmlformats.org/spreadsheetml/2006/main" count="493" uniqueCount="400">
  <si>
    <t>Vehicle Type</t>
  </si>
  <si>
    <t>Incremental Cost</t>
  </si>
  <si>
    <t>Realized Fed Veh Incentive</t>
  </si>
  <si>
    <t>Average Vehicle Life</t>
  </si>
  <si>
    <t>Transit Bus</t>
  </si>
  <si>
    <t>School Bus</t>
  </si>
  <si>
    <t>Trash Truck</t>
  </si>
  <si>
    <t>Delivery Truck</t>
  </si>
  <si>
    <t>Vehicle No.</t>
  </si>
  <si>
    <t>Average VMT</t>
  </si>
  <si>
    <t>Cell Name</t>
  </si>
  <si>
    <t>Value</t>
  </si>
  <si>
    <t>Unit</t>
  </si>
  <si>
    <t>Default</t>
  </si>
  <si>
    <t>No_Vehicles</t>
  </si>
  <si>
    <t>Vehicles</t>
  </si>
  <si>
    <t>Required ROR</t>
  </si>
  <si>
    <t>%</t>
  </si>
  <si>
    <t>Federal Vehicle Tax Incentive</t>
  </si>
  <si>
    <t>Tax_Incentive</t>
  </si>
  <si>
    <r>
      <t xml:space="preserve">% of </t>
    </r>
    <r>
      <rPr>
        <i/>
        <sz val="11"/>
        <color theme="1"/>
        <rFont val="Calibri"/>
        <family val="2"/>
        <scheme val="minor"/>
      </rPr>
      <t>Inc_Cost</t>
    </r>
  </si>
  <si>
    <t>Total_Realized_Incentive</t>
  </si>
  <si>
    <t>$</t>
  </si>
  <si>
    <t>Post-Incentive Incremental Cost</t>
  </si>
  <si>
    <t>Total_Inc_Cost</t>
  </si>
  <si>
    <t>CNG Vehicle Maintenance Costs</t>
  </si>
  <si>
    <t>$/mile</t>
  </si>
  <si>
    <t>Price of CNG (per GGE)</t>
  </si>
  <si>
    <t>CNG_Price</t>
  </si>
  <si>
    <t>CNG Price Increase</t>
  </si>
  <si>
    <t>CNG_Inflation</t>
  </si>
  <si>
    <t>% per year</t>
  </si>
  <si>
    <t>Alt Fuel Excise Tax Credit</t>
  </si>
  <si>
    <t>Excise_Tax_Credit</t>
  </si>
  <si>
    <t>Diesel Vehicle Maintenance</t>
  </si>
  <si>
    <t>Diesel_Maint</t>
  </si>
  <si>
    <t>Diesel Fuel Price</t>
  </si>
  <si>
    <t>Diesel_Price</t>
  </si>
  <si>
    <t>$/gallon</t>
  </si>
  <si>
    <t>Diesel Price Increase</t>
  </si>
  <si>
    <t>Diesel_Inflation</t>
  </si>
  <si>
    <t>%/year</t>
  </si>
  <si>
    <t>Diesel_tax_exempt</t>
  </si>
  <si>
    <t>$ per gallon</t>
  </si>
  <si>
    <t>DGE/GGE Conversion factor</t>
  </si>
  <si>
    <t>GGE_DGE_Conv</t>
  </si>
  <si>
    <t>DGEs per GGE</t>
  </si>
  <si>
    <t>Gasoline_Maint</t>
  </si>
  <si>
    <t>Gasoline Fuel Price</t>
  </si>
  <si>
    <t>Gasoline_Price</t>
  </si>
  <si>
    <t>Gasoline Price Increase</t>
  </si>
  <si>
    <t>Gasoline_Inflation</t>
  </si>
  <si>
    <t>Gasoline_Tax_Exemption</t>
  </si>
  <si>
    <t>CNG Station Salvage Value</t>
  </si>
  <si>
    <t>CNG_Station_Salv</t>
  </si>
  <si>
    <t>% of original price</t>
  </si>
  <si>
    <t>No_Transit_Buses</t>
  </si>
  <si>
    <t>No_School_Buses</t>
  </si>
  <si>
    <t>No_Trash_Trucks</t>
  </si>
  <si>
    <t>No_Para._Shuttle</t>
  </si>
  <si>
    <t>No_Delivery_Truck</t>
  </si>
  <si>
    <t>No_Pickup_Trucks</t>
  </si>
  <si>
    <t>Project Year</t>
  </si>
  <si>
    <t>Station Capacity Costs</t>
  </si>
  <si>
    <t>Montly Maintanence Costs</t>
  </si>
  <si>
    <t>CNG Fleet Maintanence</t>
  </si>
  <si>
    <t>Diesel Fleet Maintanence</t>
  </si>
  <si>
    <t>Montly Diesel Use (DGE)</t>
  </si>
  <si>
    <t>Monthly Gasoline Use (GGE)</t>
  </si>
  <si>
    <t>Gasoline Fleet Maintanence</t>
  </si>
  <si>
    <t>Hosslers/Attendants</t>
  </si>
  <si>
    <t xml:space="preserve">Total Vehicles </t>
  </si>
  <si>
    <t>CNG Fuel Economy (mpGGE)</t>
  </si>
  <si>
    <t>Months Transit Bus Ownership</t>
  </si>
  <si>
    <t>Months School Bus Ownership</t>
  </si>
  <si>
    <t>Months Trash Truck Ownership</t>
  </si>
  <si>
    <t>Months Para Shuttle Ownership</t>
  </si>
  <si>
    <t>Months Delivery Truck Ownership</t>
  </si>
  <si>
    <t>Months Pickup Truck Ownership</t>
  </si>
  <si>
    <t>Months Station Ownership</t>
  </si>
  <si>
    <t>Logical Test</t>
  </si>
  <si>
    <t>Transit Bus in fleet 1= yes, 0=no</t>
  </si>
  <si>
    <t>School Bus in fleet, 1=yes, 0=no</t>
  </si>
  <si>
    <t>Trash Truck in fleet, 1=yes, 0=no</t>
  </si>
  <si>
    <t>Para Shuttle in fleet, 1=yes, 0=no</t>
  </si>
  <si>
    <t>Delivery Truck in fleet, 1=yes, 0=no</t>
  </si>
  <si>
    <t>Pick-up in fleet, 1=yes, 0=no</t>
  </si>
  <si>
    <t>Months of vehicle ownership</t>
  </si>
  <si>
    <t>Purchase Price</t>
  </si>
  <si>
    <t>Incremental Cost of Vehicles (after incentive)</t>
  </si>
  <si>
    <t>Station</t>
  </si>
  <si>
    <t>Less: Station Fed Tax Incentive</t>
  </si>
  <si>
    <t>Net Cost of Project</t>
  </si>
  <si>
    <t>Salvage Value</t>
  </si>
  <si>
    <t>Station Salvage Value</t>
  </si>
  <si>
    <t>Operating Costs</t>
  </si>
  <si>
    <t>CNG Price (per DGE)</t>
  </si>
  <si>
    <t>Diesel Price</t>
  </si>
  <si>
    <t>Diesel Price (after tax exemption)</t>
  </si>
  <si>
    <t>Gasoline Price</t>
  </si>
  <si>
    <t>Gasoline Price (after tax exemption)</t>
  </si>
  <si>
    <t>CNG Fleet Maintenance</t>
  </si>
  <si>
    <t>CNG Fleet Fuel Costs</t>
  </si>
  <si>
    <t>Diesel Fleet Maintenance</t>
  </si>
  <si>
    <t>Diesel Fleet Fuel Costs</t>
  </si>
  <si>
    <t>Gasoline Fleet Maintenance</t>
  </si>
  <si>
    <t>Gasoline Fleet Fuel Costs</t>
  </si>
  <si>
    <t>CNG Station Maintenance</t>
  </si>
  <si>
    <t>CNG Station Electricity</t>
  </si>
  <si>
    <t>Hossler Costs</t>
  </si>
  <si>
    <t>Para Shuttle</t>
  </si>
  <si>
    <t>Pick Up Truck</t>
  </si>
  <si>
    <t>Annual Net Cash Flow</t>
  </si>
  <si>
    <t>Discount Factor</t>
  </si>
  <si>
    <t>Discounted Cash Flow</t>
  </si>
  <si>
    <t>Net Present Value</t>
  </si>
  <si>
    <t>Cumulative Cash Flow</t>
  </si>
  <si>
    <t>Whole Years</t>
  </si>
  <si>
    <t>Residual</t>
  </si>
  <si>
    <t>Payback Period (years)</t>
  </si>
  <si>
    <t>Conventional Petroleum Displaced</t>
  </si>
  <si>
    <t>Conventional Diesel (DGE)</t>
  </si>
  <si>
    <t>Conventional Gasoline (GGE)</t>
  </si>
  <si>
    <t>Total Petroleum Diplacement (GGE)</t>
  </si>
  <si>
    <t>Conventional Diesel (GGE)</t>
  </si>
  <si>
    <t>Cummulative Petroleum Displaced</t>
  </si>
  <si>
    <t>Transit Buses in Service</t>
  </si>
  <si>
    <t>School Buses in Service</t>
  </si>
  <si>
    <t>Trash Trucks in Service</t>
  </si>
  <si>
    <t>Para Shuttles in Service</t>
  </si>
  <si>
    <t>Delivery Trucks in Service</t>
  </si>
  <si>
    <t>Pickup Trucks in Servie</t>
  </si>
  <si>
    <t>Monthly Electricity Cost</t>
  </si>
  <si>
    <t>No_Taxis</t>
  </si>
  <si>
    <t>Taxi</t>
  </si>
  <si>
    <t>Taxis in Service</t>
  </si>
  <si>
    <t>Taxis in fleet, 1=yes, 0=no</t>
  </si>
  <si>
    <t>Months Taxi Ownership</t>
  </si>
  <si>
    <t>CNG_LDV_Maint_Costs</t>
  </si>
  <si>
    <t>Total Vehicle Investments</t>
  </si>
  <si>
    <t>CNG_Diesel_Maint_Costs</t>
  </si>
  <si>
    <t>Per Vehicle Costs &amp; Usage Calculated Values</t>
  </si>
  <si>
    <t>B: Transportation Energy Data Book, Edition 31, Table 4.33, Summary Statistics on Demand Response Vehicles</t>
  </si>
  <si>
    <t>C: Transportation Energy Data Book, Edition 31, Table 5.1, Summary Statistics on Class 3-8 Single Unit Trucks</t>
  </si>
  <si>
    <t>D: Transportation Energy Data Book, Edition 31, Table 4.3, Summary Statistics on Class 1, 2, 2b Trucks</t>
  </si>
  <si>
    <t>E: Transportation Energy Data Book, Edition 31, Table 4.1, Summary Statistics for Cars</t>
  </si>
  <si>
    <t xml:space="preserve">F: Public Transportation Fact Book 2011: http://www.apta.com/resources/statistics/Documents/FactBook/APTA_2011_Fact_Book.pdf </t>
  </si>
  <si>
    <t>G: Report &amp;- State of the Industry: U.S. Classes 3-8 Used Trucks, http://www.actresearch.net/reports/usedtrucksample.pdf</t>
  </si>
  <si>
    <t>AAA:http://newsroom.aaa.com/2012/04/cost-of-owning-and-operating-vehicle-in-u-s-increased-1-9-percent-according-to-aaa%E2%80%99s-2012-%E2%80%98your-driving-costs%E2%80%99-study/</t>
  </si>
  <si>
    <t>Incremental Vehicle Count</t>
  </si>
  <si>
    <t>Incremental Station Cost</t>
  </si>
  <si>
    <t>Station Investment ($)</t>
  </si>
  <si>
    <t>Invest_Type</t>
  </si>
  <si>
    <t>Total Vehicle Count</t>
  </si>
  <si>
    <t>Capacity Difference (+ = Over, - = Under)</t>
  </si>
  <si>
    <t>Total Vehicle Based Capacity (GGE/mo)</t>
  </si>
  <si>
    <t>Built capacity (GGE) based on station investment schedule</t>
  </si>
  <si>
    <t>Built Capacity (GGE/mo)</t>
  </si>
  <si>
    <t>Investment and capacity comparison</t>
  </si>
  <si>
    <t>Vehicle Investment Matrix - Incremental Vehicle CNG Usage</t>
  </si>
  <si>
    <t>CNG_GHG</t>
  </si>
  <si>
    <t>lbs/GGE</t>
  </si>
  <si>
    <t>Diesel_GHG</t>
  </si>
  <si>
    <t>22.5 lbs</t>
  </si>
  <si>
    <t>25.4 lbs</t>
  </si>
  <si>
    <t>Gasoline_GHG</t>
  </si>
  <si>
    <t>24.8 lbs</t>
  </si>
  <si>
    <t>GHG Calculations</t>
  </si>
  <si>
    <t>Potential Diesel GHG Emissions (lbs)</t>
  </si>
  <si>
    <t>Potential Gasoline GHG Emissions (lbs)</t>
  </si>
  <si>
    <t>CNG GHG Emissions (lb)</t>
  </si>
  <si>
    <t>Project Lifetime GHG Displaced (tons)</t>
  </si>
  <si>
    <t>Total Inc. Vehicle Investment</t>
  </si>
  <si>
    <t>Incremental GNG Fuel capacity (GGE/mo)
Based on station investment schedule
(Fast Fill)</t>
  </si>
  <si>
    <t>Hostlers or Attendants Needed</t>
  </si>
  <si>
    <t>$/GGE</t>
  </si>
  <si>
    <t xml:space="preserve">Total Number of Vehicles </t>
  </si>
  <si>
    <t>Monthly Cost of Hostler</t>
  </si>
  <si>
    <t>Infrastructure tax credit rate</t>
  </si>
  <si>
    <t>percent</t>
  </si>
  <si>
    <t>Infrastructure tax credit cap</t>
  </si>
  <si>
    <t>infra_tax_credit_rate</t>
  </si>
  <si>
    <t>infra_tax_credit_cap</t>
  </si>
  <si>
    <t>infra_tax_credit_realized</t>
  </si>
  <si>
    <t>Cumulative Cash Flow Discount Rate Sensitivity</t>
  </si>
  <si>
    <t>Residual Years</t>
  </si>
  <si>
    <t>Rate of Return</t>
  </si>
  <si>
    <t>Payback</t>
  </si>
  <si>
    <r>
      <t>Station Investment 
Calculated</t>
    </r>
    <r>
      <rPr>
        <vertAlign val="superscript"/>
        <sz val="11"/>
        <color theme="1"/>
        <rFont val="Calibri"/>
        <family val="2"/>
        <scheme val="minor"/>
      </rPr>
      <t>2</t>
    </r>
    <r>
      <rPr>
        <sz val="11"/>
        <color theme="1"/>
        <rFont val="Calibri"/>
        <family val="2"/>
        <scheme val="minor"/>
      </rPr>
      <t>($)</t>
    </r>
  </si>
  <si>
    <r>
      <t>Station Investment 
Input</t>
    </r>
    <r>
      <rPr>
        <vertAlign val="superscript"/>
        <sz val="11"/>
        <color theme="1"/>
        <rFont val="Calibri"/>
        <family val="2"/>
        <scheme val="minor"/>
      </rPr>
      <t>1</t>
    </r>
    <r>
      <rPr>
        <sz val="11"/>
        <color theme="1"/>
        <rFont val="Calibri"/>
        <family val="2"/>
        <scheme val="minor"/>
      </rPr>
      <t>($)</t>
    </r>
  </si>
  <si>
    <t xml:space="preserve">realized infrastructure tax credit </t>
  </si>
  <si>
    <t>Hostler_Cost</t>
  </si>
  <si>
    <t>Annual GHG Displaced (tn)</t>
  </si>
  <si>
    <t>Station Investment Matrix - de-coupled Incremental Station Investment</t>
  </si>
  <si>
    <t>Fast Fill Infrastructure Slope</t>
  </si>
  <si>
    <t>Fast Fill Infrastructure Offset</t>
  </si>
  <si>
    <t>Time Fill Component Infrastructure Slope</t>
  </si>
  <si>
    <t>Time Fill Componenet Infrastructure Offset</t>
  </si>
  <si>
    <t>FF_Slope</t>
  </si>
  <si>
    <t>FF_Offset</t>
  </si>
  <si>
    <t>TF_Slope</t>
  </si>
  <si>
    <t>TF_Offset</t>
  </si>
  <si>
    <t>Infrastructure Breakpoint</t>
  </si>
  <si>
    <t>INF_Slope_BP</t>
  </si>
  <si>
    <t>$/month</t>
  </si>
  <si>
    <t>$/(GGE/month)</t>
  </si>
  <si>
    <t>Calculated</t>
  </si>
  <si>
    <t>Required Rate of Return / Nominal Discount Rate</t>
  </si>
  <si>
    <t xml:space="preserve">Vehicle Types </t>
  </si>
  <si>
    <t xml:space="preserve"> Vehicles Acquired</t>
  </si>
  <si>
    <t>Para. Shuttle</t>
  </si>
  <si>
    <r>
      <t>Transit Bus</t>
    </r>
    <r>
      <rPr>
        <sz val="11"/>
        <color theme="1"/>
        <rFont val="Calibri"/>
        <family val="2"/>
        <scheme val="minor"/>
      </rPr>
      <t/>
    </r>
  </si>
  <si>
    <t>Gasoline PU Truck</t>
  </si>
  <si>
    <t>Gasoline Taxi</t>
  </si>
  <si>
    <t>Total Incremental
Cost ($)</t>
  </si>
  <si>
    <t>Total Infrastructure
Investment ($)</t>
  </si>
  <si>
    <t>CNG Lifecycle Greenhouse Gas Factor (per GGE)</t>
  </si>
  <si>
    <t>Diesel Lifecycle Greenhouse Gas Factor (per GGE)</t>
  </si>
  <si>
    <t>Gasoline Lifecycle Greenhouse Gas Factor (per GGE)</t>
  </si>
  <si>
    <t>3.  The Federal Vehicle Tax Incentive was set to 0% because it expired on December 31, 2010.</t>
  </si>
  <si>
    <t>General Sources:</t>
  </si>
  <si>
    <r>
      <t>LDV Gasoline Vehicle Maintenance</t>
    </r>
    <r>
      <rPr>
        <vertAlign val="superscript"/>
        <sz val="11"/>
        <color theme="1"/>
        <rFont val="Calibri"/>
        <family val="2"/>
        <scheme val="minor"/>
      </rPr>
      <t>AAA</t>
    </r>
  </si>
  <si>
    <t>LDV CNG Vehicle Maintenance Costs</t>
  </si>
  <si>
    <t>Tax_Status</t>
  </si>
  <si>
    <t>Infrastructure</t>
  </si>
  <si>
    <t>Operations</t>
  </si>
  <si>
    <t>Fuels</t>
  </si>
  <si>
    <t>Incentives</t>
  </si>
  <si>
    <r>
      <t>Diesel Excise Tax Exemption</t>
    </r>
    <r>
      <rPr>
        <sz val="11"/>
        <color theme="1"/>
        <rFont val="Calibri"/>
        <family val="2"/>
        <scheme val="minor"/>
      </rPr>
      <t xml:space="preserve"> </t>
    </r>
  </si>
  <si>
    <t>Diesel_Excise_Exempt</t>
  </si>
  <si>
    <t>Realized Gasoline Excise Tax Exemption</t>
  </si>
  <si>
    <t>Gasoline__Excise_Exempt</t>
  </si>
  <si>
    <t>Total Gasoline Excise Tax Exemption</t>
  </si>
  <si>
    <t>Federal Gasoline Excise Tax</t>
  </si>
  <si>
    <t>State Gasoline Excise Tax</t>
  </si>
  <si>
    <t>Fed_Gas_tax</t>
  </si>
  <si>
    <t>State_Gas_Tax</t>
  </si>
  <si>
    <t>Federal Diesel Excise Tax</t>
  </si>
  <si>
    <t>State Diesel Excise Tax</t>
  </si>
  <si>
    <t>Fed_Diesel_tax</t>
  </si>
  <si>
    <t>State_Diesel_Tax</t>
  </si>
  <si>
    <t>Realized Alt Fuel Excise Tax Credit</t>
  </si>
  <si>
    <t>Realized_Excise_Tax_Credit</t>
  </si>
  <si>
    <t xml:space="preserve">Realized Diesel Excise Tax Exemption </t>
  </si>
  <si>
    <t>Project_Type</t>
  </si>
  <si>
    <r>
      <t>Transit Bus</t>
    </r>
    <r>
      <rPr>
        <vertAlign val="superscript"/>
        <sz val="11"/>
        <color theme="1"/>
        <rFont val="Calibri"/>
        <family val="2"/>
        <scheme val="minor"/>
      </rPr>
      <t>A,C,G</t>
    </r>
  </si>
  <si>
    <r>
      <t>School Bus</t>
    </r>
    <r>
      <rPr>
        <vertAlign val="superscript"/>
        <sz val="11"/>
        <color theme="1"/>
        <rFont val="Calibri"/>
        <family val="2"/>
        <scheme val="minor"/>
      </rPr>
      <t>A</t>
    </r>
  </si>
  <si>
    <r>
      <t>Trash Truck</t>
    </r>
    <r>
      <rPr>
        <vertAlign val="superscript"/>
        <sz val="11"/>
        <color theme="1"/>
        <rFont val="Calibri"/>
        <family val="2"/>
        <scheme val="minor"/>
      </rPr>
      <t>A,C</t>
    </r>
  </si>
  <si>
    <r>
      <t>Para. Shuttle</t>
    </r>
    <r>
      <rPr>
        <vertAlign val="superscript"/>
        <sz val="11"/>
        <color theme="1"/>
        <rFont val="Calibri"/>
        <family val="2"/>
        <scheme val="minor"/>
      </rPr>
      <t>A, B</t>
    </r>
  </si>
  <si>
    <r>
      <t>Delivery Truck</t>
    </r>
    <r>
      <rPr>
        <vertAlign val="superscript"/>
        <sz val="11"/>
        <color theme="1"/>
        <rFont val="Calibri"/>
        <family val="2"/>
        <scheme val="minor"/>
      </rPr>
      <t>A, D</t>
    </r>
  </si>
  <si>
    <r>
      <t>Gasoline PU Truck</t>
    </r>
    <r>
      <rPr>
        <vertAlign val="superscript"/>
        <sz val="11"/>
        <color theme="1"/>
        <rFont val="Calibri"/>
        <family val="2"/>
        <scheme val="minor"/>
      </rPr>
      <t>A</t>
    </r>
  </si>
  <si>
    <r>
      <t>Gasoline Taxi</t>
    </r>
    <r>
      <rPr>
        <vertAlign val="superscript"/>
        <sz val="11"/>
        <color theme="1"/>
        <rFont val="Calibri"/>
        <family val="2"/>
        <scheme val="minor"/>
      </rPr>
      <t>E, F</t>
    </r>
  </si>
  <si>
    <t>Source</t>
  </si>
  <si>
    <t>http://www.afdc.energy.gov/laws/law/US/319</t>
  </si>
  <si>
    <t>http://www.afdc.energy.gov/fuels/prices.html</t>
  </si>
  <si>
    <t>http://newsroom.aaa.com/2013/04/cost-of-owning-and-operating-vehicle-in-u-s-increases-nearly-two-percent-according-to-aaas-2013-your-driving-costs-study/</t>
  </si>
  <si>
    <t>http://www.munibondadvisor.com/market.htm</t>
  </si>
  <si>
    <t>http://www.api.org/oil-and-natural-gas-overview/industry-economics/~/media/Files/Statistics/state-motor-fuel-taxes-report.pdf</t>
  </si>
  <si>
    <t>http://www.eia.gov/forecasts/aeo/pdf/appa.pdf</t>
  </si>
  <si>
    <t>http://www.afdc.energy.gov/laws/law/US/10513</t>
  </si>
  <si>
    <t>http://www.irs.gov/Businesses/Corporations/Alternative-Motor-Vehicle-Credit</t>
  </si>
  <si>
    <t>http://greet.es.anl.gov/</t>
  </si>
  <si>
    <t>A: Alternative Fuel Data Center - http://www.afdc.energy.gov/</t>
  </si>
  <si>
    <t>Financial Model Calculations</t>
  </si>
  <si>
    <t>Vehicle &amp; Station Calculations</t>
  </si>
  <si>
    <t>Input Cell Key</t>
  </si>
  <si>
    <t>VICE 2.0 Model Inputs</t>
  </si>
  <si>
    <t>Section 1 - Project and Investment Type Selection</t>
  </si>
  <si>
    <t>Section 2 - Tax Exemption Status</t>
  </si>
  <si>
    <t xml:space="preserve"> Note: Excise tax exemptions for diesel and gasoline = 0.38 $/gal if you are a tax-exempt fleet.</t>
  </si>
  <si>
    <t>General Notes:</t>
  </si>
  <si>
    <r>
      <rPr>
        <vertAlign val="superscript"/>
        <sz val="14"/>
        <color theme="1"/>
        <rFont val="Calibri"/>
        <family val="2"/>
        <scheme val="minor"/>
      </rPr>
      <t>2</t>
    </r>
    <r>
      <rPr>
        <sz val="11"/>
        <color theme="1"/>
        <rFont val="Calibri"/>
        <family val="2"/>
        <scheme val="minor"/>
      </rPr>
      <t xml:space="preserve"> Station Investment Calculated = 0 when de-coupled station investment type (Invest_type = 1) is selected. </t>
    </r>
  </si>
  <si>
    <t>VICE 2.0 Instructions</t>
  </si>
  <si>
    <t>Enter the number of vehicles of each specific type to be purchased in years 0 through 20.</t>
  </si>
  <si>
    <t>Business Case Results Summary</t>
  </si>
  <si>
    <t xml:space="preserve">Section 3 - Vehicle Data </t>
  </si>
  <si>
    <t xml:space="preserve">VICE 2.0 Results  </t>
  </si>
  <si>
    <t>Total GHG Displaced (tn)</t>
  </si>
  <si>
    <t xml:space="preserve">  </t>
  </si>
  <si>
    <t xml:space="preserve">    Project Type</t>
  </si>
  <si>
    <t xml:space="preserve">    Is your fleet tax exempt?</t>
  </si>
  <si>
    <t xml:space="preserve">1 =  Coupled: Ties infrastructure investment to vehicle investment so they happen in the same year throughout the life of the project.
2 =  Decoupled: Allows vehicle investment and infrastructure investment to be made in different years throughout the life of the project. </t>
  </si>
  <si>
    <t xml:space="preserve">    Investment Type </t>
  </si>
  <si>
    <t>1 = Vehicle and infrastructure investment
2 = Vehicle aquisition investment only</t>
  </si>
  <si>
    <t>* Changing defaults to match your operating parameters will enhance the accuracy of the results.</t>
  </si>
  <si>
    <t>Petroleum and Greenhouse Gas Reduction Summary</t>
  </si>
  <si>
    <t xml:space="preserve">Net Present Value  </t>
  </si>
  <si>
    <t>Payback Period  (yrs)</t>
  </si>
  <si>
    <t>Simple Payback Period  (yrs)</t>
  </si>
  <si>
    <t>Displaced Diesel  (GGEs)</t>
  </si>
  <si>
    <t>Displaced Gasoline (GGEs)</t>
  </si>
  <si>
    <t>Total Petroleum Displacement (GGEs)</t>
  </si>
  <si>
    <t>Project/investment type:</t>
  </si>
  <si>
    <t>If you chose project type 2, then the investment type selection is ignored.</t>
  </si>
  <si>
    <r>
      <t xml:space="preserve">Section 6 - Station Investment Matrix </t>
    </r>
    <r>
      <rPr>
        <sz val="14"/>
        <color theme="1"/>
        <rFont val="Calibri"/>
        <family val="2"/>
        <scheme val="minor"/>
      </rPr>
      <t xml:space="preserve">  </t>
    </r>
    <r>
      <rPr>
        <sz val="14"/>
        <rFont val="Calibri"/>
        <family val="2"/>
        <scheme val="minor"/>
      </rPr>
      <t xml:space="preserve"> Only fill in if you chose project type 1 (vehicle and station) and investment type 1 (coupled) in Section 1.</t>
    </r>
  </si>
  <si>
    <t></t>
  </si>
  <si>
    <t>back</t>
  </si>
  <si>
    <r>
      <t>Montly CNG Use (GGE</t>
    </r>
    <r>
      <rPr>
        <sz val="11"/>
        <color theme="1"/>
        <rFont val="Calibri"/>
        <family val="2"/>
        <scheme val="minor"/>
      </rPr>
      <t>)</t>
    </r>
  </si>
  <si>
    <r>
      <t xml:space="preserve">Vehicle Investment Matrix - Incremental Vehicle Cost </t>
    </r>
    <r>
      <rPr>
        <b/>
        <sz val="12"/>
        <color rgb="FFFF0000"/>
        <rFont val="Calibri"/>
        <family val="2"/>
        <scheme val="minor"/>
      </rPr>
      <t>for vehicles added in each project year</t>
    </r>
  </si>
  <si>
    <t>No (default)</t>
  </si>
  <si>
    <t>Transit Buses</t>
  </si>
  <si>
    <t>School Buses</t>
  </si>
  <si>
    <t>Trash Trucks</t>
  </si>
  <si>
    <t>Pickup Truck</t>
  </si>
  <si>
    <t>Taxis</t>
  </si>
  <si>
    <t>Incremental capacity (GGE/mo)</t>
  </si>
  <si>
    <t>Required capacity (GGE/mo) based on in service vehicles</t>
  </si>
  <si>
    <t>1 = Vehicle &amp; station (default)</t>
  </si>
  <si>
    <t>1 = Vehicle &amp; station coupled (default)</t>
  </si>
  <si>
    <t>Select from List</t>
  </si>
  <si>
    <t>Base fuel Used</t>
  </si>
  <si>
    <t>Diesel</t>
  </si>
  <si>
    <t>Gasoline</t>
  </si>
  <si>
    <t>CNG Fuel Economy Loss</t>
  </si>
  <si>
    <t xml:space="preserve">1.  The infrastructure tax credit expire on January 1, 2014.  http://www.afdc.energy.gov/laws/law/US/10513 </t>
  </si>
  <si>
    <t xml:space="preserve">2.  The alternative fuel excise tax credit expired on January 1, 2014. http://www.afdc.energy.gov/laws/laws/US/incentive/3234 </t>
  </si>
  <si>
    <t>5.  The diesel and natural gas price increases were projected (in nominal dollars) for 2010-2040, Table A3, in the Energy Information Administration's 2014 Early Release Annual Energy Outlook. http://www.eia.gov/forecasts/aeo/er/index.cfm</t>
  </si>
  <si>
    <t>4.  The diesel and natural gas prices were updated on January 16, 2014 based on the Alternative Fuels Data Center (AFDC) Alternative Fuel Price Report http://www.afdc.energy.gov/fuels/prices.html</t>
  </si>
  <si>
    <t>http://www.api.org/oil-and-natural-gas-overview/industry-economics/fuel-taxes</t>
  </si>
  <si>
    <t>Release date: January 17, 2014</t>
  </si>
  <si>
    <r>
      <t xml:space="preserve"> </t>
    </r>
    <r>
      <rPr>
        <b/>
        <sz val="11"/>
        <color theme="1"/>
        <rFont val="Calibri"/>
        <family val="2"/>
        <scheme val="minor"/>
      </rPr>
      <t xml:space="preserve"> Enter vehicle acquisition and infrastructure investment data. </t>
    </r>
    <r>
      <rPr>
        <sz val="11"/>
        <color theme="1"/>
        <rFont val="Calibri"/>
        <family val="2"/>
        <scheme val="minor"/>
      </rPr>
      <t xml:space="preserve">(Required)
</t>
    </r>
  </si>
  <si>
    <r>
      <t xml:space="preserve">  Enter vehicle data - infrastructure/fuels/operations/incentives. </t>
    </r>
    <r>
      <rPr>
        <sz val="11"/>
        <color theme="1"/>
        <rFont val="Calibri"/>
        <family val="2"/>
        <scheme val="minor"/>
      </rPr>
      <t>(Optional)*</t>
    </r>
    <r>
      <rPr>
        <b/>
        <sz val="11"/>
        <color theme="1"/>
        <rFont val="Calibri"/>
        <family val="2"/>
        <scheme val="minor"/>
      </rPr>
      <t xml:space="preserve">
</t>
    </r>
  </si>
  <si>
    <r>
      <t xml:space="preserve">  Calculated value. </t>
    </r>
    <r>
      <rPr>
        <sz val="11"/>
        <color theme="1"/>
        <rFont val="Calibri"/>
        <family val="2"/>
        <scheme val="minor"/>
      </rPr>
      <t>(Cannot be changed.)</t>
    </r>
  </si>
  <si>
    <r>
      <t xml:space="preserve"> </t>
    </r>
    <r>
      <rPr>
        <b/>
        <sz val="11"/>
        <color theme="1"/>
        <rFont val="Calibri"/>
        <family val="2"/>
        <scheme val="minor"/>
      </rPr>
      <t xml:space="preserve"> Select project type, investment type, and tax status from dropdown list. </t>
    </r>
    <r>
      <rPr>
        <sz val="11"/>
        <color theme="1"/>
        <rFont val="Calibri"/>
        <family val="2"/>
        <scheme val="minor"/>
      </rPr>
      <t xml:space="preserve">(Required) </t>
    </r>
  </si>
  <si>
    <t>These instructions guide you through each section of the Inputs tab and provide information about the Results. The instructions are formatted for easy printing.</t>
  </si>
  <si>
    <t>Section 1 - Project and Investment Type</t>
  </si>
  <si>
    <t>Project Type</t>
  </si>
  <si>
    <t>Investment Type</t>
  </si>
  <si>
    <t>If you selected project type 1, then you will need to choose one of these two investment types:</t>
  </si>
  <si>
    <t>Investment Type 1: Coupled</t>
  </si>
  <si>
    <t>Investment Type 2: Decoupled</t>
  </si>
  <si>
    <t>Section 2 – Tax Exemption Status</t>
  </si>
  <si>
    <t>The federal government taxes fuel purchases and provides incentives for the use of alternative fuels through tax credits. These credits are intended to reduce the overall cost of using natural gas as a vehicle fuel. The alternative fuel tax credits are designed so that both tax-exempt and tax-paying entities can capitalize on them (either directly or through fuel, vehicle, or equipment providers). Therefore, tax exempt status has the primary effect of reducing the price of diesel and gasoline. Section 2 allows you to select your fleet’s tax exemption status by selecting “Y” for tax exempt or “N” for not tax exempt. Tax exemption status is a critical and required input.</t>
  </si>
  <si>
    <t>Section 3 – Vehicle Data</t>
  </si>
  <si>
    <t>Values entered in the Section 6 row titled “Station Investment Inputs” (blue cells), prior to selecting a “decoupled” investment strategy will remain visible, but will not be used for any calculation. This was done to allow visualization between coupled and decoupled investment strategies when combined with the Investment Strategy Visualization chart viewable on the Results tab.</t>
  </si>
  <si>
    <t xml:space="preserve">VICE 2.0 provides a series of visualizations for: </t>
  </si>
  <si>
    <r>
      <t xml:space="preserve">Hostlers or Attendants Needed </t>
    </r>
    <r>
      <rPr>
        <sz val="14"/>
        <color rgb="FF000000"/>
        <rFont val="Calibri"/>
        <family val="2"/>
        <scheme val="minor"/>
      </rPr>
      <t>– Additional employees (beyond those needed with conventional vehicles), who refuel, clean, and maintain fleets are not considered an additional cost because they are required by conventionally-fueled vehicles, so the default value is zero. However there may be opportunities or necessity to adjust staff.</t>
    </r>
  </si>
  <si>
    <r>
      <t xml:space="preserve">Diesel Price Increase </t>
    </r>
    <r>
      <rPr>
        <sz val="14"/>
        <color rgb="FF000000"/>
        <rFont val="Calibri"/>
        <family val="2"/>
        <scheme val="minor"/>
      </rPr>
      <t>- The diesel fuel price increase was calculated (in nominal dollars) for 2010-2040 based on the Energy Information Administration's 2014 Early Release Annual Energy Outlook. This value is used to determine the future price of diesel fuel.</t>
    </r>
  </si>
  <si>
    <r>
      <t xml:space="preserve">Federal Diesel Excise Tax </t>
    </r>
    <r>
      <rPr>
        <sz val="14"/>
        <color rgb="FF000000"/>
        <rFont val="Calibri"/>
        <family val="2"/>
        <scheme val="minor"/>
      </rPr>
      <t>– This is the federal portion of the diesel fuel tax. Currently, the federal diesel fuel excise tax contributes $0.244 to the price of a gallon of diesel fuel according to the American Petroleum Institute.</t>
    </r>
  </si>
  <si>
    <r>
      <t xml:space="preserve">State Diesel Excise Tax </t>
    </r>
    <r>
      <rPr>
        <sz val="14"/>
        <color rgb="FF000000"/>
        <rFont val="Calibri"/>
        <family val="2"/>
        <scheme val="minor"/>
      </rPr>
      <t>- This is the average state portion of the diesel fuel tax. Currently the average state diesel fuel excise tax contributes $0.195 to the price of a gallon of diesel fuel according to the American Petroleum Institute. This value may be updated to reflect the state where your fleet resides.</t>
    </r>
  </si>
  <si>
    <r>
      <t xml:space="preserve">Diesel Lifecycle Greenhouse Gas Factor </t>
    </r>
    <r>
      <rPr>
        <sz val="14"/>
        <color rgb="FF000000"/>
        <rFont val="Calibri"/>
        <family val="2"/>
        <scheme val="minor"/>
      </rPr>
      <t>– This value is calculated from Argonne National Laboratory’s Greenhouse Gases, Regulated Emissions, and Energy Use in Transportation Model (GREET1- 2011). This value is reported in pounds per gasoline gallon equivalent (Lb/GGE) where the GGE is based on the energy content equivalent, 116,000 Btu/gal, of one gallon of gasoline.</t>
    </r>
  </si>
  <si>
    <r>
      <t xml:space="preserve">Federal Gasoline Excise Tax </t>
    </r>
    <r>
      <rPr>
        <sz val="14"/>
        <color rgb="FF000000"/>
        <rFont val="Calibri"/>
        <family val="2"/>
        <scheme val="minor"/>
      </rPr>
      <t>– This is the federal portion of the gasoline fuel tax. Currently, the federal gasoline fuel excise tax contributes $0.184 to the price of a gallon of gasoline according to the American Petroleum Institute.</t>
    </r>
  </si>
  <si>
    <r>
      <t>Gasoline Lifecycle Greenhouse Gas Factor</t>
    </r>
    <r>
      <rPr>
        <sz val="14"/>
        <color rgb="FF000000"/>
        <rFont val="Calibri"/>
        <family val="2"/>
        <scheme val="minor"/>
      </rPr>
      <t xml:space="preserve"> – This value is calculated from Argonne National Laboratory’s Greenhouse Gases, Regulated Emissions, and Energy Use in Transportation Model (GREET1- 2011). This value is reported in pounds per gasoline gallon equivalent (Lb/GGE) where the GGE is based on the energy content equivalent, 116,000 Btu/gal, of one gallon of gasoline.</t>
    </r>
  </si>
  <si>
    <r>
      <t>Section 5 – Vehicle Acquisition Matrix</t>
    </r>
    <r>
      <rPr>
        <sz val="16"/>
        <color rgb="FF000000"/>
        <rFont val="Calibri"/>
        <family val="2"/>
        <scheme val="minor"/>
      </rPr>
      <t> </t>
    </r>
  </si>
  <si>
    <r>
      <t xml:space="preserve">Section 6 – Station Investment Matrix </t>
    </r>
    <r>
      <rPr>
        <sz val="16"/>
        <color rgb="FF000000"/>
        <rFont val="Calibri"/>
        <family val="2"/>
        <scheme val="minor"/>
      </rPr>
      <t> </t>
    </r>
  </si>
  <si>
    <r>
      <rPr>
        <b/>
        <sz val="12"/>
        <color rgb="FF000000"/>
        <rFont val="Calibri"/>
        <family val="2"/>
        <scheme val="minor"/>
      </rPr>
      <t>●</t>
    </r>
    <r>
      <rPr>
        <b/>
        <sz val="14"/>
        <color rgb="FF000000"/>
        <rFont val="Calibri"/>
        <family val="2"/>
        <scheme val="minor"/>
      </rPr>
      <t xml:space="preserve"> </t>
    </r>
    <r>
      <rPr>
        <sz val="14"/>
        <color rgb="FF000000"/>
        <rFont val="Calibri"/>
        <family val="2"/>
        <scheme val="minor"/>
      </rPr>
      <t xml:space="preserve"> Cumulative and annual petroleum savings</t>
    </r>
  </si>
  <si>
    <r>
      <rPr>
        <sz val="12"/>
        <color rgb="FF000000"/>
        <rFont val="Calibri"/>
        <family val="2"/>
        <scheme val="minor"/>
      </rPr>
      <t>●</t>
    </r>
    <r>
      <rPr>
        <sz val="14"/>
        <color rgb="FF000000"/>
        <rFont val="Calibri"/>
        <family val="2"/>
        <scheme val="minor"/>
      </rPr>
      <t xml:space="preserve">  CNG fuel requirement and capacity utilization </t>
    </r>
  </si>
  <si>
    <r>
      <rPr>
        <sz val="12"/>
        <color rgb="FF000000"/>
        <rFont val="Calibri"/>
        <family val="2"/>
        <scheme val="minor"/>
      </rPr>
      <t xml:space="preserve">● </t>
    </r>
    <r>
      <rPr>
        <sz val="14"/>
        <color rgb="FF000000"/>
        <rFont val="Calibri"/>
        <family val="2"/>
        <scheme val="minor"/>
      </rPr>
      <t xml:space="preserve"> Vehicle investment</t>
    </r>
  </si>
  <si>
    <r>
      <rPr>
        <sz val="12"/>
        <color theme="1"/>
        <rFont val="Calibri"/>
        <family val="2"/>
        <scheme val="minor"/>
      </rPr>
      <t>●</t>
    </r>
    <r>
      <rPr>
        <sz val="14"/>
        <color theme="1"/>
        <rFont val="Calibri"/>
        <family val="2"/>
        <scheme val="minor"/>
      </rPr>
      <t xml:space="preserve">  Cumulative and annual greenhouse gas savings.</t>
    </r>
  </si>
  <si>
    <r>
      <rPr>
        <sz val="12"/>
        <color rgb="FF000000"/>
        <rFont val="Calibri"/>
        <family val="2"/>
      </rPr>
      <t>●</t>
    </r>
    <r>
      <rPr>
        <sz val="14"/>
        <color rgb="FF000000"/>
        <rFont val="Calibri"/>
        <family val="2"/>
      </rPr>
      <t xml:space="preserve">  </t>
    </r>
    <r>
      <rPr>
        <sz val="14"/>
        <color rgb="FF000000"/>
        <rFont val="Calibri"/>
        <family val="2"/>
        <scheme val="minor"/>
      </rPr>
      <t>Cumulative cash flow, projected payback period, and incremental vehicle and station costs</t>
    </r>
  </si>
  <si>
    <r>
      <rPr>
        <vertAlign val="superscript"/>
        <sz val="12"/>
        <color theme="1"/>
        <rFont val="Calibri"/>
        <family val="2"/>
        <scheme val="minor"/>
      </rPr>
      <t xml:space="preserve">1 </t>
    </r>
    <r>
      <rPr>
        <sz val="11"/>
        <color theme="1"/>
        <rFont val="Calibri"/>
        <family val="2"/>
        <scheme val="minor"/>
      </rPr>
      <t xml:space="preserve">Station Investment Input must have values entered when decoupled station investment type (Invest_type = </t>
    </r>
    <r>
      <rPr>
        <sz val="11"/>
        <rFont val="Calibri"/>
        <family val="2"/>
        <scheme val="minor"/>
      </rPr>
      <t>2</t>
    </r>
    <r>
      <rPr>
        <sz val="11"/>
        <color theme="1"/>
        <rFont val="Calibri"/>
        <family val="2"/>
        <scheme val="minor"/>
      </rPr>
      <t xml:space="preserve">) is selected. </t>
    </r>
  </si>
  <si>
    <t>More info</t>
  </si>
  <si>
    <t xml:space="preserve">VICE 2.0 requires you to specify a project type and investment type. </t>
  </si>
  <si>
    <t xml:space="preserve">There are two project types to choose from: projects including both vehicles and infrastructure and projects involving vehicle acquisitions only.  Select the number "1" from the dropdown list in the green cell to include both vehicles and infrastructure in the project scenario. Select the number "2" from the dropdown list in the green cell to analyze a project for vehicle acquisitions only. </t>
  </si>
  <si>
    <t>There are two choices for investment type: coupled or decoupled. In this model, investments in vehicle acquisitions or infrastructure deployment may be made in any year during a 20-year program life.  If you selected project type 2 (vehicles only), it is not necessary to pick an investment type. In this case, any infrastructure investment inputs are ignored when calculating the business case results.</t>
  </si>
  <si>
    <t>If you select "1" from the dropdown list in the green cell for investment type, it couples or “locks” infrastructure deployment to vehicle acquisition so both capital investments are made in the same project year.  When vehicles and infrastructure are coupled, the infrastructure investment is calculated based on fuel usage derived from vehicle number and vehicle attributes. When investments are coupled the Station Investment Matrix in Section 6 is determined by the vehicle inputs in the Vehicle Investment Matrix in Section 5. This is similar to the construction of the original VICE model with the exception that acquisitions and the associated investment can be made any time during the project life.</t>
  </si>
  <si>
    <r>
      <t xml:space="preserve">Efficiency Loss </t>
    </r>
    <r>
      <rPr>
        <sz val="14"/>
        <color rgb="FF000000"/>
        <rFont val="Calibri"/>
        <family val="2"/>
        <scheme val="minor"/>
      </rPr>
      <t xml:space="preserve">– This value represents the expected difference in operating efficiency between similar vehicles operating on its conventional fuel and CNG.  Any change in </t>
    </r>
    <r>
      <rPr>
        <i/>
        <sz val="14"/>
        <color rgb="FF000000"/>
        <rFont val="Calibri"/>
        <family val="2"/>
        <scheme val="minor"/>
      </rPr>
      <t>Efficiency Loss</t>
    </r>
    <r>
      <rPr>
        <sz val="14"/>
        <color rgb="FF000000"/>
        <rFont val="Calibri"/>
        <family val="2"/>
        <scheme val="minor"/>
      </rPr>
      <t xml:space="preserve"> will be reflected in the </t>
    </r>
    <r>
      <rPr>
        <i/>
        <sz val="14"/>
        <color rgb="FF000000"/>
        <rFont val="Calibri"/>
        <family val="2"/>
        <scheme val="minor"/>
      </rPr>
      <t>CNG Fuel Economy</t>
    </r>
    <r>
      <rPr>
        <sz val="14"/>
        <color rgb="FF000000"/>
        <rFont val="Calibri"/>
        <family val="2"/>
        <scheme val="minor"/>
      </rPr>
      <t xml:space="preserve"> field with units of miles per gasoline gallon equivalent (mpGGE).</t>
    </r>
  </si>
  <si>
    <t>Base Fuel Economy
(MPG base fuel)</t>
  </si>
  <si>
    <r>
      <t xml:space="preserve">Base Fuel Economy  </t>
    </r>
    <r>
      <rPr>
        <sz val="14"/>
        <color rgb="FF000000"/>
        <rFont val="Calibri"/>
        <family val="2"/>
        <scheme val="minor"/>
      </rPr>
      <t>– This is the average fuel economy in diesel or gasoline miles per gallon. This value is used to estimate the CNG fuel usage and required station size or throughput. If you have fuel usage records for your fleet, you should be able to report this value enhancing the results of the model.</t>
    </r>
  </si>
  <si>
    <t>Realized Fed Vehicle Incentive</t>
  </si>
  <si>
    <t>Section 4 - Infrastructure, Fuels, Operations, and Incentives</t>
  </si>
  <si>
    <t>Section 4 – Infrastructure, Fuels, Operations, and Incentives</t>
  </si>
  <si>
    <t xml:space="preserve">Section 4 includes inputs for infrastructure, fuels, operations, and incentives.  Change the values in the yellow cells to tailor the data to more closely represent your particular situation. The values in this section come from a number of sources, provided in the source column.   Using these sources, you can verify the default values are up-to-date and increases the accuracy of the business model.  </t>
  </si>
  <si>
    <r>
      <t xml:space="preserve">CNG Station Salvage Value </t>
    </r>
    <r>
      <rPr>
        <sz val="14"/>
        <color rgb="FF000000"/>
        <rFont val="Calibri"/>
        <family val="2"/>
        <scheme val="minor"/>
      </rPr>
      <t>– The CNG station is assumed to be used for the entire project period as defined by the vehicle life and the project year the vehicle enters service.  The salvage value of the station is assumed to be 20% of the invested value at the end of the project regardless of the project duration. This value was based on expert interviews and is static, as salvage value is based more on demand for individual components than component age.</t>
    </r>
  </si>
  <si>
    <r>
      <t xml:space="preserve">Monthly Cost of Hostler </t>
    </r>
    <r>
      <rPr>
        <sz val="14"/>
        <color rgb="FF000000"/>
        <rFont val="Calibri"/>
        <family val="2"/>
        <scheme val="minor"/>
      </rPr>
      <t xml:space="preserve">– Hostlers are employees who refuel, clean, and maintain fleets and are not considered an additional cost because they are required by conventionally-fueled vehicles. If additional hostlers are needed or you need to reduce staff, the monthly cost for a single employee may be entered. </t>
    </r>
  </si>
  <si>
    <r>
      <t xml:space="preserve">Realized Infrastructure Tax Credit </t>
    </r>
    <r>
      <rPr>
        <sz val="14"/>
        <color rgb="FF000000"/>
        <rFont val="Calibri"/>
        <family val="2"/>
        <scheme val="minor"/>
      </rPr>
      <t>– This is the calculated realized value of infrastructure investment based on the tax credit rate and credit cap describe above.  This tax credit can only be applied in year zero (0) of the project.</t>
    </r>
  </si>
  <si>
    <r>
      <t xml:space="preserve">CNG Lifecycle Greenhouse Gas Factor </t>
    </r>
    <r>
      <rPr>
        <sz val="14"/>
        <color rgb="FF000000"/>
        <rFont val="Calibri"/>
        <family val="2"/>
        <scheme val="minor"/>
      </rPr>
      <t>– This value is calculated from Argonne National Laboratory’s Greenhouse Gases, Regulated Emissions, and Energy Use in Transportation Model (GREET1- 2011). This value is reported in pounds per gasoline gallon equivalent (lb/GGE) where the GGE is based on the energy content equivalent, 116,000 Btu/gal, of one gallon of gasoline.</t>
    </r>
  </si>
  <si>
    <r>
      <t xml:space="preserve">DGE/GGE Conversion Factor </t>
    </r>
    <r>
      <rPr>
        <sz val="14"/>
        <color rgb="FF000000"/>
        <rFont val="Calibri"/>
        <family val="2"/>
        <scheme val="minor"/>
      </rPr>
      <t>– The ratio of Lower Heating Values (LHV) for diesel and gasoline and is used to convert diesel gallons to gasoline gallons. This value is calculated from Argonne National Laboratory’s Greenhouse Gases, Regulated Emissions, and Energy Use in Transportation Model (GREET1- 2011). This value is dimensionless and is based on the energy content equivalent, 116,000 Btu/gal, of one gallon of gasoline and 129,488 Btu/gal of diesel fuel.</t>
    </r>
  </si>
  <si>
    <r>
      <t xml:space="preserve">State Gasoline Excise Tax </t>
    </r>
    <r>
      <rPr>
        <sz val="14"/>
        <color rgb="FF000000"/>
        <rFont val="Calibri"/>
        <family val="2"/>
        <scheme val="minor"/>
      </rPr>
      <t>- This is the average state portion of the gasoline tax. Currently, the average state gasoline excise tax contributes $0.214 to the price of a gallon of gasoline according to the American Petroleum Institute. This value may be updated to reflect the state where your fleet resides.</t>
    </r>
  </si>
  <si>
    <r>
      <t xml:space="preserve">Diesel Vehicle Maintenance Cost </t>
    </r>
    <r>
      <rPr>
        <sz val="14"/>
        <color rgb="FF000000"/>
        <rFont val="Calibri"/>
        <family val="2"/>
        <scheme val="minor"/>
      </rPr>
      <t>- Maintenance and operation costs for a diesel bus are considered the same as those for a CNG bus. Updating this value will enhance the predictive capability of the model.</t>
    </r>
  </si>
  <si>
    <r>
      <t>CNG Vehicle Maintenance Cost</t>
    </r>
    <r>
      <rPr>
        <sz val="14"/>
        <color rgb="FF000000"/>
        <rFont val="Calibri"/>
        <family val="2"/>
        <scheme val="minor"/>
      </rPr>
      <t xml:space="preserve"> - Maintenance and operation costs for a CNG bus are considered the same as those for a diesel bus because there is evidence to support both a cost decrease and a cost increase.  This cost parity for CNG buses is assumed to apply to CNG refuse trucks as well. Updating this value will enhance the predictive capability of the model.</t>
    </r>
  </si>
  <si>
    <r>
      <t xml:space="preserve">LDV Vehicle Maintenance Cost </t>
    </r>
    <r>
      <rPr>
        <sz val="14"/>
        <color rgb="FF000000"/>
        <rFont val="Calibri"/>
        <family val="2"/>
        <scheme val="minor"/>
      </rPr>
      <t>- This value represents maintenance and operation costs for a light-duty, gasoline-powered vehicle. Updating this value based on your fleet's VMT and maintenance records will enhance the predictive capability of the model.</t>
    </r>
  </si>
  <si>
    <r>
      <t xml:space="preserve">LDV CNG Vehicle Maintenance Cost </t>
    </r>
    <r>
      <rPr>
        <sz val="14"/>
        <color rgb="FF000000"/>
        <rFont val="Calibri"/>
        <family val="2"/>
        <scheme val="minor"/>
      </rPr>
      <t>- Maintenance and operation costs for light-duty CNG vehicles are considered the same as those for a gasoline vehicle. Updating this value will enhance the predictive capability of the model.</t>
    </r>
  </si>
  <si>
    <r>
      <t xml:space="preserve">Required Rate of Return/Nominal Discount Rate </t>
    </r>
    <r>
      <rPr>
        <sz val="14"/>
        <color rgb="FF000000"/>
        <rFont val="Calibri"/>
        <family val="2"/>
        <scheme val="minor"/>
      </rPr>
      <t>– The internal rate of return on an investment is referred to as the rate of return (ROR) and makes the net present value (NPV)  of all cash flows (positive and negative) for a particular investment equal to zero. It is also defined as the discount rate at which the present value of all future cash flows at which the investment breaks even (that is, the gain or loss on an investment over a specified period expressed as a percentage increase over the initial investment cost). The default ROR is 6% - the upper limit for a key municipal bond index between 1997 and 2013 (WM financial 2013). This rate is assumed, as it is the higher limit of the cost of capital for municipal governments.</t>
    </r>
  </si>
  <si>
    <r>
      <t xml:space="preserve">Federal Vehicle Tax Incentive </t>
    </r>
    <r>
      <rPr>
        <sz val="14"/>
        <color rgb="FF000000"/>
        <rFont val="Calibri"/>
        <family val="2"/>
        <scheme val="minor"/>
      </rPr>
      <t>– Expired since December, 2010, the Alternative Motor Vehicle Credit provides a tax credit equal to an input fraction of the incremental cost of a CNG vehicle. VICE 2.0 caps this incentive to a maximum of $32,000 per vehicle. VICE 2.0 assumes this credit is fully capitalized on by passing it directly to the vehicle manufacturer in exchange for a reduced purchase price.</t>
    </r>
  </si>
  <si>
    <t xml:space="preserve">Inputs in Section 6 (blue cells) are only needed if you chose project type 1 (vehicle and station) and investment type 2 (vehicle and infrastructure investment de-coupled) in Section 1. When these selections are made, the Station Investment Matrix functions similarly to the vehicle acquisition matrix in Section 5. It allows station infrastructure investments to be made at any time during the 20-year project life. If you chose project type 1 and investment type 1 in Section 1, the lower row in Section 6 titled “Station Investment Calculated” self populates with infrastructure costs based on the calculated fuel usage of the vehicles acquired in Section 5.  </t>
  </si>
  <si>
    <t>The Results tab is formatted for printing three pages that summarize and visualize your project scenario.</t>
  </si>
  <si>
    <t>Change the data in the yellow cells to reflect your individual fleet data and improve estimations.</t>
  </si>
  <si>
    <r>
      <t xml:space="preserve">Section 5 - Vehicle Acquisition Matrix </t>
    </r>
    <r>
      <rPr>
        <sz val="14"/>
        <color theme="1"/>
        <rFont val="Calibri"/>
        <family val="2"/>
        <scheme val="minor"/>
      </rPr>
      <t xml:space="preserve">    Vehicle type, number of vehicles, and desired project year must be entered.</t>
    </r>
  </si>
  <si>
    <t>INPUTS</t>
  </si>
  <si>
    <t>RESULTS</t>
  </si>
  <si>
    <r>
      <t xml:space="preserve">Infrastructure Tax Credit Rate, Infrastructure Tax Credit Cap </t>
    </r>
    <r>
      <rPr>
        <sz val="14"/>
        <color rgb="FF000000"/>
        <rFont val="Calibri"/>
        <family val="2"/>
        <scheme val="minor"/>
      </rPr>
      <t xml:space="preserve">– </t>
    </r>
    <r>
      <rPr>
        <b/>
        <sz val="14"/>
        <color rgb="FF000000"/>
        <rFont val="Calibri"/>
        <family val="2"/>
        <scheme val="minor"/>
      </rPr>
      <t>Expired December 31, 2013</t>
    </r>
    <r>
      <rPr>
        <sz val="14"/>
        <color rgb="FF000000"/>
        <rFont val="Calibri"/>
        <family val="2"/>
        <scheme val="minor"/>
      </rPr>
      <t>. Fueling equipment for natural gas as well as other alternative fuels installed between January 1, 2006 and December 31, 2013 were eligible for a tax credit of 30% of the cost, not to exceed $30,000.</t>
    </r>
  </si>
  <si>
    <r>
      <t>Alternative Fuel Excise Tax Credit</t>
    </r>
    <r>
      <rPr>
        <sz val="14"/>
        <color rgb="FF000000"/>
        <rFont val="Calibri"/>
        <family val="2"/>
        <scheme val="minor"/>
      </rPr>
      <t xml:space="preserve"> - </t>
    </r>
    <r>
      <rPr>
        <b/>
        <sz val="14"/>
        <color rgb="FF000000"/>
        <rFont val="Calibri"/>
        <family val="2"/>
        <scheme val="minor"/>
      </rPr>
      <t>Expired December 31, 2013</t>
    </r>
    <r>
      <rPr>
        <sz val="14"/>
        <color rgb="FF000000"/>
        <rFont val="Calibri"/>
        <family val="2"/>
        <scheme val="minor"/>
      </rPr>
      <t xml:space="preserve">. A tax incentive was available for alternative fuel that is sold for use or used as a fuel to operate a motor vehicle. A tax credit in the amount of $0.50 per GGE was available for a number of alternative fuels including compressed natural gas. To be eligible to claim the credit you must be liable for reporting and paying the federal excise tax on the sale or use of the fuel in a motor vehicle, or have a fuel provider that can pass on the incentive. Tax exempt entities such as state and local governments that dispense qualified fuel from an onsite fueling station for use in vehicles qualify for the incentive. </t>
    </r>
  </si>
  <si>
    <t>Entries in the Vehicle Data table you can change include:</t>
  </si>
  <si>
    <t xml:space="preserve">If you select "2" from the dropdown list in the green cell for investment type, it decouples or “unlocks” infrastructure deployment and vehicle acquisition so these capital investments are made independently of each other at any time during the project life. Inputs for vehicle acquisition and station investment are in Section 5 and 6.  When you use this investment type, make sure infrastructure throughput and vehicle fuel usage are similar throughout the program life. It is very easy to develop an investment scheme with a very short payback period in which the infrastructure is totally inadequate to meet the fueling needs of the vehicle rollout selected. Because of this, consult the chart titled “Investment Strategy Visualization: CNG Fuel Requirement and Capacity Utilization,” under the Results tab.  This visualization is provided to illustrate the growth of infrastructure capacity and fleet fuel use over the lifetime of the project. </t>
  </si>
  <si>
    <t xml:space="preserve">The project type and investment strategy is identified at the top of the first page.  Three summary tables are provided. The first shows the business case results including net present value, payback period, and simple payback (discount rate = 0). A table with petroleum and greenhouse gas reduction summary information is also provided. A third table summarizes total vehicle acquisition and total incremental cost for each vehicle type.  </t>
  </si>
  <si>
    <r>
      <t xml:space="preserve">Incremental Cost </t>
    </r>
    <r>
      <rPr>
        <sz val="14"/>
        <color rgb="FF000000"/>
        <rFont val="Calibri"/>
        <family val="2"/>
        <scheme val="minor"/>
      </rPr>
      <t>– The cost of equipping a chosen vehicle to operate on CNG rather than diesel or gasoline. This number may represent the cost to convert an existing vehicle to CNG, but most often represents the cost differential between purchasing CNG vehicle compared to a conventional gasoline or diesel vehicle.</t>
    </r>
  </si>
  <si>
    <t>Entries in the table you can change include:</t>
  </si>
  <si>
    <t>In Section 5, you are required to enter the number of vehicles by type (in the blue cells) that you intend to aquire over a 20-year period. The Vehicle Acquisition Matrix is a significant departure from the original VICE model. This matrix allows perspective projects to acquire vehicles at any time during a 20-year project period, spreading the cost of those vehicles across the project life. Vehicle acquisition is no longer capped. First and last years of vehicle service, as defined by average vehicle life in Section 3, are assumed to be six months for accounting purposes.</t>
  </si>
  <si>
    <t xml:space="preserve">Section 3 allows you to add your current fleet's data along with the difference in cost and fuel economy when you replace those vehicles with CNG vehicles. Default values for incremental cost, average annual miles traveled (VMT), average vehicle life, and expected fuel economies for each vehicle using its conventional fuel are preloaded into the vehicle table. These values come from a number of sources (as noted by the letters following the vehicle type) and represent average values for the type of vehicle. The yellow cells in the vehicle table allow you to tailor the vehicle data to more closely represent vehicles in your  fleet. Adding your own numbers in the yellow cells significantly enhances the accuracy of the business model prediction.  </t>
  </si>
  <si>
    <r>
      <t xml:space="preserve">Average VMT </t>
    </r>
    <r>
      <rPr>
        <sz val="14"/>
        <color rgb="FF000000"/>
        <rFont val="Calibri"/>
        <family val="2"/>
        <scheme val="minor"/>
      </rPr>
      <t>– This is the average annual vehicle mileage traveled. Data specific to your fleet may vary significantly, either higher or lower, so data reflecting your fleet will enhance fuel usage estimates.</t>
    </r>
  </si>
  <si>
    <r>
      <t xml:space="preserve">Average Vehicle Life </t>
    </r>
    <r>
      <rPr>
        <sz val="14"/>
        <color rgb="FF000000"/>
        <rFont val="Calibri"/>
        <family val="2"/>
        <scheme val="minor"/>
      </rPr>
      <t xml:space="preserve">– This is the vehicle service life. Data specific to your fleet may vary significantly, either higher or lower. Adjusting </t>
    </r>
    <r>
      <rPr>
        <i/>
        <sz val="14"/>
        <color rgb="FF000000"/>
        <rFont val="Calibri"/>
        <family val="2"/>
        <scheme val="minor"/>
      </rPr>
      <t>Average Vehicle Life</t>
    </r>
    <r>
      <rPr>
        <sz val="14"/>
        <color rgb="FF000000"/>
        <rFont val="Calibri"/>
        <family val="2"/>
        <scheme val="minor"/>
      </rPr>
      <t xml:space="preserve"> to reflect the service life of vehicles in your fleet may significantly impact the net present value (NPV) as well as the expected time of the project payback period.</t>
    </r>
  </si>
  <si>
    <r>
      <t xml:space="preserve">Price of CNG </t>
    </r>
    <r>
      <rPr>
        <sz val="14"/>
        <color rgb="FF000000"/>
        <rFont val="Calibri"/>
        <family val="2"/>
        <scheme val="minor"/>
      </rPr>
      <t>- The natural gas price is based on the latest reported values available from the Alternative Fuels Data Center (AFDC), Alternative Fuel Price Report Web page.</t>
    </r>
  </si>
  <si>
    <r>
      <t xml:space="preserve">CNG Price Increase </t>
    </r>
    <r>
      <rPr>
        <sz val="14"/>
        <color rgb="FF000000"/>
        <rFont val="Calibri"/>
        <family val="2"/>
        <scheme val="minor"/>
      </rPr>
      <t>- The natural gas price increase was calculated (in nominal dollars) for 2010-2035 based on the Energy Information Administration's 2014 Early Release Annual Energy Outlook. This value is used to determine the future price of purchased natural gas.</t>
    </r>
  </si>
  <si>
    <r>
      <t xml:space="preserve">Diesel Fuel Price </t>
    </r>
    <r>
      <rPr>
        <sz val="14"/>
        <color rgb="FF000000"/>
        <rFont val="Calibri"/>
        <family val="2"/>
        <scheme val="minor"/>
      </rPr>
      <t>- The diesel fuel price is  based on the latest reported values available from the Alternative Fuels Data Center (AFDC), Alternative Fuel Price Report Web page.</t>
    </r>
  </si>
  <si>
    <r>
      <t xml:space="preserve">Gasoline Fuel Price </t>
    </r>
    <r>
      <rPr>
        <sz val="14"/>
        <color rgb="FF000000"/>
        <rFont val="Calibri"/>
        <family val="2"/>
        <scheme val="minor"/>
      </rPr>
      <t>– The gasoline fuel price is based on the latest reported values available from the Alternative Fuels Data Center (AFDC), Alternative Fuel Price Report Web page.</t>
    </r>
  </si>
  <si>
    <r>
      <t xml:space="preserve">Gasoline Price Increase </t>
    </r>
    <r>
      <rPr>
        <sz val="14"/>
        <color rgb="FF000000"/>
        <rFont val="Calibri"/>
        <family val="2"/>
        <scheme val="minor"/>
      </rPr>
      <t>- The gasoline price increase was calculated (in nominal dollars) for 2010-2035 based on the Energy Information Administration's 2014 Early Release Annual Energy Outlook. This value is used to determine the future price of gasoline.</t>
    </r>
  </si>
  <si>
    <t>National Laboratory of the Rockies</t>
  </si>
  <si>
    <t>This page provides the calculations and values used for the vehicles and stations.</t>
  </si>
  <si>
    <t>This page provides the calculations for the financial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</si>
</sst>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0.000"/>
    <numFmt numFmtId="168" formatCode="&quot;$&quot;#,##0"/>
    <numFmt numFmtId="169" formatCode="&quot;$&quot;#,##0.000"/>
    <numFmt numFmtId="170" formatCode="&quot;$&quot;#,##0.0000_);\(&quot;$&quot;#,##0.0000\)"/>
    <numFmt numFmtId="171" formatCode="&quot;$&quot;#,##0.000_);\(&quot;$&quot;#,##0.000\)"/>
    <numFmt numFmtId="172" formatCode="_(* #,##0.0000_);_(* \(#,##0.0000\);_(* &quot;-&quot;??_);_(@_)"/>
    <numFmt numFmtId="173" formatCode="#,##0.000_);\(#,##0.000\)"/>
    <numFmt numFmtId="174" formatCode="_(* #,##0_);_(* \(#,##0\);_(* &quot;-&quot;??_);_(@_)"/>
    <numFmt numFmtId="175" formatCode="0.000%"/>
  </numFmts>
  <fonts count="54"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0"/>
      <name val="Arial"/>
      <family val="2"/>
    </font>
    <font>
      <i/>
      <sz val="11"/>
      <color theme="1"/>
      <name val="Calibri"/>
      <family val="2"/>
      <scheme val="minor"/>
    </font>
    <font>
      <b/>
      <sz val="11"/>
      <color indexed="56"/>
      <name val="Calibri"/>
      <family val="2"/>
    </font>
    <font>
      <sz val="11"/>
      <name val="Calibri"/>
      <family val="2"/>
      <scheme val="minor"/>
    </font>
    <font>
      <sz val="11"/>
      <color theme="0" tint="-0.499984740745262"/>
      <name val="Calibri"/>
      <family val="2"/>
      <scheme val="minor"/>
    </font>
    <font>
      <b/>
      <sz val="12"/>
      <color theme="1"/>
      <name val="Calibri"/>
      <family val="2"/>
      <scheme val="minor"/>
    </font>
    <font>
      <b/>
      <sz val="11"/>
      <name val="Calibri"/>
      <family val="2"/>
      <scheme val="minor"/>
    </font>
    <font>
      <b/>
      <sz val="14"/>
      <color theme="1"/>
      <name val="Calibri"/>
      <family val="2"/>
      <scheme val="minor"/>
    </font>
    <font>
      <sz val="11"/>
      <color theme="1"/>
      <name val="Calibri"/>
      <family val="2"/>
    </font>
    <font>
      <b/>
      <sz val="11"/>
      <color theme="1"/>
      <name val="Calibri"/>
      <family val="2"/>
    </font>
    <font>
      <b/>
      <sz val="14"/>
      <color theme="1"/>
      <name val="Calibri"/>
      <family val="2"/>
    </font>
    <font>
      <sz val="11"/>
      <color theme="1"/>
      <name val="Symbol"/>
      <family val="1"/>
      <charset val="2"/>
    </font>
    <font>
      <u/>
      <sz val="10"/>
      <color theme="10"/>
      <name val="Arial"/>
      <family val="2"/>
    </font>
    <font>
      <b/>
      <sz val="11"/>
      <color rgb="FF000000"/>
      <name val="Calibri"/>
      <family val="2"/>
      <scheme val="minor"/>
    </font>
    <font>
      <sz val="11"/>
      <color rgb="FF000000"/>
      <name val="Calibri"/>
      <family val="2"/>
      <scheme val="minor"/>
    </font>
    <font>
      <b/>
      <sz val="16"/>
      <color rgb="FF000000"/>
      <name val="Calibri"/>
      <family val="2"/>
      <scheme val="minor"/>
    </font>
    <font>
      <sz val="12"/>
      <color theme="1"/>
      <name val="Calibri"/>
      <family val="2"/>
      <scheme val="minor"/>
    </font>
    <font>
      <b/>
      <sz val="11"/>
      <color rgb="FFFF0000"/>
      <name val="Calibri"/>
      <family val="2"/>
      <scheme val="minor"/>
    </font>
    <font>
      <sz val="14"/>
      <color theme="1"/>
      <name val="Calibri"/>
      <family val="2"/>
      <scheme val="minor"/>
    </font>
    <font>
      <b/>
      <sz val="20"/>
      <color theme="1"/>
      <name val="Calibri"/>
      <family val="2"/>
      <scheme val="minor"/>
    </font>
    <font>
      <sz val="9"/>
      <color indexed="81"/>
      <name val="Tahoma"/>
      <family val="2"/>
    </font>
    <font>
      <b/>
      <sz val="9"/>
      <color indexed="81"/>
      <name val="Tahoma"/>
      <family val="2"/>
    </font>
    <font>
      <vertAlign val="superscript"/>
      <sz val="11"/>
      <color theme="1"/>
      <name val="Calibri"/>
      <family val="2"/>
      <scheme val="minor"/>
    </font>
    <font>
      <b/>
      <sz val="18"/>
      <color theme="1"/>
      <name val="Calibri"/>
      <family val="2"/>
      <scheme val="minor"/>
    </font>
    <font>
      <sz val="18"/>
      <color theme="1"/>
      <name val="Calibri"/>
      <family val="2"/>
      <scheme val="minor"/>
    </font>
    <font>
      <sz val="10"/>
      <color theme="1"/>
      <name val="Calibri"/>
      <family val="2"/>
      <scheme val="minor"/>
    </font>
    <font>
      <vertAlign val="superscript"/>
      <sz val="12"/>
      <color theme="1"/>
      <name val="Calibri"/>
      <family val="2"/>
      <scheme val="minor"/>
    </font>
    <font>
      <vertAlign val="superscript"/>
      <sz val="14"/>
      <color theme="1"/>
      <name val="Calibri"/>
      <family val="2"/>
      <scheme val="minor"/>
    </font>
    <font>
      <i/>
      <sz val="10"/>
      <color theme="1"/>
      <name val="Calibri"/>
      <family val="2"/>
      <scheme val="minor"/>
    </font>
    <font>
      <i/>
      <sz val="12"/>
      <name val="Calibri"/>
      <family val="2"/>
      <scheme val="minor"/>
    </font>
    <font>
      <sz val="11"/>
      <color rgb="FFFF0000"/>
      <name val="Calibri"/>
      <family val="2"/>
      <scheme val="minor"/>
    </font>
    <font>
      <sz val="14"/>
      <name val="Calibri"/>
      <family val="2"/>
      <scheme val="minor"/>
    </font>
    <font>
      <sz val="11"/>
      <color theme="1"/>
      <name val="Wingdings"/>
      <family val="2"/>
    </font>
    <font>
      <u/>
      <sz val="11"/>
      <color theme="10"/>
      <name val="Arial"/>
      <family val="2"/>
    </font>
    <font>
      <b/>
      <sz val="12"/>
      <color rgb="FFFF0000"/>
      <name val="Calibri"/>
      <family val="2"/>
      <scheme val="minor"/>
    </font>
    <font>
      <sz val="12"/>
      <color rgb="FF000000"/>
      <name val="Calibri"/>
      <family val="2"/>
      <scheme val="minor"/>
    </font>
    <font>
      <b/>
      <sz val="12"/>
      <color rgb="FF000000"/>
      <name val="Calibri"/>
      <family val="2"/>
      <scheme val="minor"/>
    </font>
    <font>
      <b/>
      <sz val="14"/>
      <color rgb="FF000000"/>
      <name val="Calibri"/>
      <family val="2"/>
      <scheme val="minor"/>
    </font>
    <font>
      <u/>
      <sz val="11"/>
      <color theme="4"/>
      <name val="Calibri"/>
      <family val="2"/>
      <scheme val="minor"/>
    </font>
    <font>
      <b/>
      <sz val="18"/>
      <name val="Calibri"/>
      <family val="2"/>
      <scheme val="minor"/>
    </font>
    <font>
      <u/>
      <sz val="11"/>
      <name val="Calibri"/>
      <family val="2"/>
      <scheme val="minor"/>
    </font>
    <font>
      <sz val="14"/>
      <color rgb="FF000000"/>
      <name val="Calibri"/>
      <family val="2"/>
      <scheme val="minor"/>
    </font>
    <font>
      <b/>
      <sz val="14"/>
      <name val="Calibri"/>
      <family val="2"/>
      <scheme val="minor"/>
    </font>
    <font>
      <sz val="16"/>
      <color rgb="FF000000"/>
      <name val="Calibri"/>
      <family val="2"/>
      <scheme val="minor"/>
    </font>
    <font>
      <sz val="14"/>
      <color rgb="FF000000"/>
      <name val="Calibri"/>
      <family val="2"/>
    </font>
    <font>
      <sz val="12"/>
      <color rgb="FF000000"/>
      <name val="Calibri"/>
      <family val="2"/>
    </font>
    <font>
      <i/>
      <sz val="14"/>
      <color rgb="FF000000"/>
      <name val="Calibri"/>
      <family val="2"/>
      <scheme val="minor"/>
    </font>
    <font>
      <b/>
      <sz val="22"/>
      <name val="Calibri"/>
      <family val="2"/>
      <scheme val="minor"/>
    </font>
    <font>
      <sz val="11"/>
      <color theme="1"/>
      <name val="Arial"/>
      <family val="2"/>
    </font>
  </fonts>
  <fills count="2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rgb="FFFFFF66"/>
      </patternFill>
    </fill>
    <fill>
      <patternFill patternType="solid">
        <fgColor rgb="FFFFFFCC"/>
        <bgColor rgb="FFECCF56"/>
      </patternFill>
    </fill>
    <fill>
      <patternFill patternType="solid">
        <fgColor theme="2"/>
        <bgColor indexed="64"/>
      </patternFill>
    </fill>
    <fill>
      <patternFill patternType="solid">
        <fgColor rgb="FFAFDC7E"/>
        <bgColor indexed="64"/>
      </patternFill>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top/>
      <bottom style="thin">
        <color auto="1"/>
      </bottom>
      <diagonal/>
    </border>
    <border>
      <left/>
      <right style="thick">
        <color auto="1"/>
      </right>
      <top style="thick">
        <color auto="1"/>
      </top>
      <bottom style="thick">
        <color auto="1"/>
      </bottom>
      <diagonal/>
    </border>
    <border>
      <left/>
      <right/>
      <top style="thin">
        <color auto="1"/>
      </top>
      <bottom/>
      <diagonal/>
    </border>
    <border>
      <left style="thin">
        <color auto="1"/>
      </left>
      <right style="thin">
        <color auto="1"/>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bottom style="thin">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auto="1"/>
      </left>
      <right/>
      <top style="thin">
        <color auto="1"/>
      </top>
      <bottom/>
      <diagonal/>
    </border>
    <border>
      <left/>
      <right/>
      <top/>
      <bottom style="thin">
        <color auto="1"/>
      </bottom>
      <diagonal/>
    </border>
    <border>
      <left/>
      <right style="thick">
        <color auto="1"/>
      </right>
      <top style="thin">
        <color auto="1"/>
      </top>
      <bottom style="thin">
        <color auto="1"/>
      </bottom>
      <diagonal/>
    </border>
    <border>
      <left style="thick">
        <color auto="1"/>
      </left>
      <right/>
      <top style="thick">
        <color auto="1"/>
      </top>
      <bottom style="thick">
        <color auto="1"/>
      </bottom>
      <diagonal/>
    </border>
    <border>
      <left style="thin">
        <color auto="1"/>
      </left>
      <right/>
      <top/>
      <bottom/>
      <diagonal/>
    </border>
    <border>
      <left style="thin">
        <color auto="1"/>
      </left>
      <right style="thin">
        <color auto="1"/>
      </right>
      <top/>
      <bottom style="thick">
        <color auto="1"/>
      </bottom>
      <diagonal/>
    </border>
    <border>
      <left style="thin">
        <color auto="1"/>
      </left>
      <right style="thin">
        <color auto="1"/>
      </right>
      <top style="thick">
        <color auto="1"/>
      </top>
      <bottom style="thin">
        <color auto="1"/>
      </bottom>
      <diagonal/>
    </border>
    <border>
      <left style="thick">
        <color auto="1"/>
      </left>
      <right style="thick">
        <color auto="1"/>
      </right>
      <top style="thick">
        <color auto="1"/>
      </top>
      <bottom style="medium">
        <color auto="1"/>
      </bottom>
      <diagonal/>
    </border>
    <border>
      <left style="thick">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ck">
        <color auto="1"/>
      </bottom>
      <diagonal/>
    </border>
    <border>
      <left style="medium">
        <color auto="1"/>
      </left>
      <right/>
      <top/>
      <bottom/>
      <diagonal/>
    </border>
  </borders>
  <cellStyleXfs count="25">
    <xf numFmtId="0" fontId="0"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2" fillId="0" borderId="0"/>
    <xf numFmtId="9"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7" fillId="0" borderId="1"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7" fillId="0" borderId="0" applyNumberFormat="0" applyFill="0" applyBorder="0" applyAlignment="0" applyProtection="0">
      <alignment vertical="top"/>
      <protection locked="0"/>
    </xf>
    <xf numFmtId="9" fontId="2" fillId="0" borderId="0" applyFont="0" applyFill="0" applyBorder="0" applyAlignment="0" applyProtection="0"/>
    <xf numFmtId="44" fontId="2" fillId="0" borderId="0" applyFont="0" applyFill="0" applyBorder="0" applyAlignment="0" applyProtection="0"/>
  </cellStyleXfs>
  <cellXfs count="535">
    <xf numFmtId="0" fontId="0" fillId="0" borderId="0" xfId="0"/>
    <xf numFmtId="0" fontId="0" fillId="0" borderId="2" xfId="0" applyBorder="1"/>
    <xf numFmtId="0" fontId="3" fillId="2" borderId="2" xfId="1" applyFont="1" applyFill="1" applyBorder="1" applyAlignment="1">
      <alignment horizontal="center" vertical="center" wrapText="1"/>
    </xf>
    <xf numFmtId="0" fontId="2" fillId="2" borderId="6" xfId="1" applyFont="1" applyFill="1" applyBorder="1" applyAlignment="1">
      <alignment vertical="center"/>
    </xf>
    <xf numFmtId="0" fontId="3" fillId="2" borderId="4" xfId="1" applyFont="1" applyFill="1" applyBorder="1" applyAlignment="1">
      <alignment horizontal="center" vertical="center" wrapText="1"/>
    </xf>
    <xf numFmtId="0" fontId="2" fillId="2" borderId="5" xfId="1" applyFont="1" applyFill="1" applyBorder="1" applyAlignment="1">
      <alignment vertical="center"/>
    </xf>
    <xf numFmtId="0" fontId="2" fillId="2" borderId="3" xfId="1" applyFont="1" applyFill="1" applyBorder="1" applyAlignment="1">
      <alignment vertical="center"/>
    </xf>
    <xf numFmtId="168" fontId="2" fillId="2" borderId="5" xfId="1" applyNumberFormat="1" applyFont="1" applyFill="1"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wrapText="1"/>
    </xf>
    <xf numFmtId="0" fontId="0" fillId="0" borderId="0" xfId="0" applyAlignment="1">
      <alignment horizontal="center"/>
    </xf>
    <xf numFmtId="0" fontId="2" fillId="2" borderId="2" xfId="1" applyFont="1" applyFill="1" applyBorder="1" applyAlignment="1">
      <alignment vertical="center"/>
    </xf>
    <xf numFmtId="0" fontId="3" fillId="2" borderId="2" xfId="1" applyFont="1" applyFill="1" applyBorder="1" applyAlignment="1">
      <alignment horizontal="center" vertical="center"/>
    </xf>
    <xf numFmtId="9" fontId="2" fillId="2" borderId="2" xfId="1" applyNumberFormat="1" applyFont="1" applyFill="1" applyBorder="1" applyAlignment="1">
      <alignment vertical="center"/>
    </xf>
    <xf numFmtId="7" fontId="8" fillId="2" borderId="2" xfId="13" applyNumberFormat="1" applyFont="1" applyFill="1" applyBorder="1" applyAlignment="1">
      <alignment vertical="center"/>
    </xf>
    <xf numFmtId="164" fontId="8" fillId="2" borderId="2" xfId="13" applyNumberFormat="1" applyFont="1" applyFill="1" applyBorder="1" applyAlignment="1">
      <alignment vertical="center"/>
    </xf>
    <xf numFmtId="7" fontId="8" fillId="2" borderId="2" xfId="3" applyNumberFormat="1" applyFont="1" applyFill="1" applyBorder="1" applyAlignment="1">
      <alignment vertical="center"/>
    </xf>
    <xf numFmtId="7" fontId="8" fillId="2" borderId="2" xfId="12" applyNumberFormat="1" applyFont="1" applyFill="1" applyBorder="1" applyAlignment="1">
      <alignment vertical="center"/>
    </xf>
    <xf numFmtId="7" fontId="2" fillId="2" borderId="2" xfId="1" applyNumberFormat="1" applyFont="1" applyFill="1" applyBorder="1" applyAlignment="1">
      <alignment vertical="center"/>
    </xf>
    <xf numFmtId="9" fontId="8" fillId="2" borderId="2" xfId="13" applyNumberFormat="1" applyFont="1" applyFill="1" applyBorder="1" applyAlignment="1">
      <alignment vertical="center"/>
    </xf>
    <xf numFmtId="5" fontId="2" fillId="2" borderId="2" xfId="3" applyNumberFormat="1" applyFont="1" applyFill="1" applyBorder="1" applyAlignment="1">
      <alignment vertical="center"/>
    </xf>
    <xf numFmtId="169" fontId="8" fillId="2" borderId="2" xfId="14" applyNumberFormat="1" applyFont="1" applyFill="1" applyBorder="1" applyAlignment="1">
      <alignment vertical="center"/>
    </xf>
    <xf numFmtId="164" fontId="8" fillId="2" borderId="2" xfId="4" applyNumberFormat="1" applyFont="1" applyFill="1" applyBorder="1" applyAlignment="1">
      <alignment vertical="center"/>
    </xf>
    <xf numFmtId="1" fontId="0" fillId="0" borderId="2" xfId="0" applyNumberFormat="1" applyBorder="1" applyAlignment="1">
      <alignment horizontal="center"/>
    </xf>
    <xf numFmtId="168" fontId="0" fillId="0" borderId="2" xfId="0" applyNumberFormat="1" applyBorder="1" applyAlignment="1">
      <alignment horizontal="center"/>
    </xf>
    <xf numFmtId="5" fontId="0" fillId="4" borderId="2" xfId="0" applyNumberFormat="1" applyFill="1" applyBorder="1" applyAlignment="1">
      <alignment horizontal="center"/>
    </xf>
    <xf numFmtId="168" fontId="0" fillId="4" borderId="2" xfId="0" applyNumberFormat="1" applyFill="1" applyBorder="1" applyAlignment="1">
      <alignment horizontal="center"/>
    </xf>
    <xf numFmtId="5" fontId="0" fillId="5" borderId="2" xfId="0" applyNumberFormat="1" applyFill="1" applyBorder="1" applyAlignment="1">
      <alignment horizontal="center"/>
    </xf>
    <xf numFmtId="5" fontId="0" fillId="6" borderId="2" xfId="0" applyNumberFormat="1" applyFill="1" applyBorder="1" applyAlignment="1">
      <alignment horizontal="center"/>
    </xf>
    <xf numFmtId="168" fontId="0" fillId="6" borderId="2" xfId="0" applyNumberFormat="1" applyFill="1" applyBorder="1" applyAlignment="1">
      <alignment horizontal="center"/>
    </xf>
    <xf numFmtId="0" fontId="3" fillId="2" borderId="6" xfId="1" applyFont="1" applyFill="1" applyBorder="1" applyAlignment="1">
      <alignment horizontal="center" vertical="center"/>
    </xf>
    <xf numFmtId="0" fontId="0" fillId="4" borderId="2" xfId="0" applyFill="1" applyBorder="1" applyAlignment="1">
      <alignment horizontal="center"/>
    </xf>
    <xf numFmtId="0" fontId="0" fillId="12" borderId="2" xfId="0" applyFill="1" applyBorder="1" applyAlignment="1">
      <alignment horizontal="center"/>
    </xf>
    <xf numFmtId="0" fontId="3" fillId="2" borderId="5" xfId="1" applyFont="1" applyFill="1" applyBorder="1" applyAlignment="1">
      <alignment horizontal="center" vertical="center"/>
    </xf>
    <xf numFmtId="0" fontId="0" fillId="4" borderId="4" xfId="0" applyFill="1" applyBorder="1" applyAlignment="1">
      <alignment horizontal="center"/>
    </xf>
    <xf numFmtId="0" fontId="0" fillId="0" borderId="4" xfId="0" applyBorder="1" applyAlignment="1">
      <alignment horizontal="center"/>
    </xf>
    <xf numFmtId="0" fontId="0" fillId="12" borderId="4" xfId="0" applyFill="1" applyBorder="1" applyAlignment="1">
      <alignment horizontal="center"/>
    </xf>
    <xf numFmtId="168" fontId="0" fillId="8" borderId="2" xfId="0" applyNumberFormat="1" applyFill="1" applyBorder="1" applyAlignment="1">
      <alignment horizontal="center"/>
    </xf>
    <xf numFmtId="168" fontId="3" fillId="9" borderId="2" xfId="0" applyNumberFormat="1" applyFont="1" applyFill="1" applyBorder="1" applyAlignment="1">
      <alignment horizontal="center"/>
    </xf>
    <xf numFmtId="168" fontId="0" fillId="10" borderId="2" xfId="0" applyNumberFormat="1" applyFill="1" applyBorder="1" applyAlignment="1">
      <alignment horizontal="center"/>
    </xf>
    <xf numFmtId="0" fontId="4" fillId="0" borderId="0" xfId="1"/>
    <xf numFmtId="166" fontId="0" fillId="4" borderId="4" xfId="0" applyNumberFormat="1" applyFill="1" applyBorder="1" applyAlignment="1">
      <alignment horizontal="center"/>
    </xf>
    <xf numFmtId="166" fontId="0" fillId="4" borderId="2" xfId="0" applyNumberFormat="1" applyFill="1" applyBorder="1" applyAlignment="1">
      <alignment horizontal="center"/>
    </xf>
    <xf numFmtId="166" fontId="0" fillId="0" borderId="4" xfId="0" applyNumberFormat="1" applyBorder="1" applyAlignment="1">
      <alignment horizontal="center"/>
    </xf>
    <xf numFmtId="166" fontId="0" fillId="0" borderId="2" xfId="0" applyNumberFormat="1" applyBorder="1" applyAlignment="1">
      <alignment horizontal="center"/>
    </xf>
    <xf numFmtId="0" fontId="10" fillId="0" borderId="0" xfId="0" applyFont="1" applyAlignment="1">
      <alignment horizontal="center"/>
    </xf>
    <xf numFmtId="5" fontId="0" fillId="0" borderId="0" xfId="0" applyNumberFormat="1" applyAlignment="1">
      <alignment horizontal="center"/>
    </xf>
    <xf numFmtId="1" fontId="0" fillId="0" borderId="0" xfId="0" applyNumberFormat="1" applyAlignment="1">
      <alignment horizontal="center"/>
    </xf>
    <xf numFmtId="168" fontId="0" fillId="0" borderId="0" xfId="0" applyNumberFormat="1" applyAlignment="1">
      <alignment horizontal="center"/>
    </xf>
    <xf numFmtId="0" fontId="10" fillId="0" borderId="0" xfId="0" applyFont="1"/>
    <xf numFmtId="5" fontId="2" fillId="0" borderId="2" xfId="3" applyNumberFormat="1" applyFont="1" applyFill="1" applyBorder="1" applyAlignment="1">
      <alignment horizontal="center" vertical="center"/>
    </xf>
    <xf numFmtId="1" fontId="0" fillId="4" borderId="2" xfId="0" applyNumberFormat="1" applyFill="1" applyBorder="1" applyAlignment="1">
      <alignment horizontal="center"/>
    </xf>
    <xf numFmtId="1" fontId="0" fillId="6" borderId="2" xfId="0" applyNumberFormat="1" applyFill="1" applyBorder="1" applyAlignment="1">
      <alignment horizontal="center"/>
    </xf>
    <xf numFmtId="0" fontId="0" fillId="6" borderId="2" xfId="0" applyFill="1" applyBorder="1" applyAlignment="1">
      <alignment horizontal="center"/>
    </xf>
    <xf numFmtId="0" fontId="0" fillId="18" borderId="2" xfId="0" applyFill="1" applyBorder="1"/>
    <xf numFmtId="5" fontId="0" fillId="16" borderId="2" xfId="0" applyNumberFormat="1" applyFill="1" applyBorder="1"/>
    <xf numFmtId="166" fontId="0" fillId="18" borderId="2" xfId="0" applyNumberFormat="1" applyFill="1" applyBorder="1"/>
    <xf numFmtId="2" fontId="3" fillId="17" borderId="2" xfId="0" applyNumberFormat="1" applyFont="1" applyFill="1" applyBorder="1" applyAlignment="1">
      <alignment horizontal="center"/>
    </xf>
    <xf numFmtId="7" fontId="2" fillId="0" borderId="2" xfId="3" applyNumberFormat="1" applyFont="1" applyFill="1" applyBorder="1" applyAlignment="1">
      <alignment horizontal="center" vertical="center"/>
    </xf>
    <xf numFmtId="170" fontId="2" fillId="13" borderId="2" xfId="3" applyNumberFormat="1" applyFont="1" applyFill="1" applyBorder="1" applyAlignment="1">
      <alignment horizontal="center" vertical="center"/>
    </xf>
    <xf numFmtId="7" fontId="2" fillId="13" borderId="2" xfId="3" applyNumberFormat="1" applyFont="1" applyFill="1" applyBorder="1" applyAlignment="1">
      <alignment horizontal="center" vertical="center"/>
    </xf>
    <xf numFmtId="1" fontId="2" fillId="0" borderId="2" xfId="1" applyNumberFormat="1" applyFont="1" applyBorder="1" applyAlignment="1">
      <alignment horizontal="center" vertical="center"/>
    </xf>
    <xf numFmtId="1" fontId="2" fillId="19" borderId="2" xfId="1" applyNumberFormat="1" applyFont="1" applyFill="1" applyBorder="1" applyAlignment="1">
      <alignment horizontal="center" vertical="center"/>
    </xf>
    <xf numFmtId="1" fontId="2" fillId="19" borderId="4" xfId="1" applyNumberFormat="1" applyFont="1" applyFill="1" applyBorder="1" applyAlignment="1">
      <alignment horizontal="center" vertical="center"/>
    </xf>
    <xf numFmtId="1" fontId="2" fillId="0" borderId="4" xfId="1" applyNumberFormat="1" applyFont="1" applyBorder="1" applyAlignment="1">
      <alignment horizontal="center" vertical="center"/>
    </xf>
    <xf numFmtId="2" fontId="2" fillId="2" borderId="0" xfId="1" applyNumberFormat="1" applyFont="1" applyFill="1" applyAlignment="1">
      <alignment vertical="center"/>
    </xf>
    <xf numFmtId="168" fontId="8" fillId="5" borderId="2" xfId="0" applyNumberFormat="1" applyFont="1" applyFill="1" applyBorder="1" applyAlignment="1">
      <alignment horizontal="center"/>
    </xf>
    <xf numFmtId="1" fontId="8" fillId="5" borderId="2" xfId="0" applyNumberFormat="1" applyFont="1" applyFill="1" applyBorder="1" applyAlignment="1">
      <alignment horizontal="center"/>
    </xf>
    <xf numFmtId="0" fontId="8" fillId="5" borderId="2" xfId="0" applyFont="1" applyFill="1" applyBorder="1" applyAlignment="1">
      <alignment horizontal="center"/>
    </xf>
    <xf numFmtId="171" fontId="8" fillId="2" borderId="2" xfId="13" applyNumberFormat="1" applyFont="1" applyFill="1" applyBorder="1" applyAlignment="1">
      <alignment vertical="center"/>
    </xf>
    <xf numFmtId="0" fontId="3" fillId="0" borderId="2" xfId="0" applyFont="1" applyBorder="1" applyAlignment="1">
      <alignment horizontal="center"/>
    </xf>
    <xf numFmtId="0" fontId="19" fillId="0" borderId="0" xfId="0" applyFont="1"/>
    <xf numFmtId="0" fontId="18" fillId="0" borderId="0" xfId="0" applyFont="1"/>
    <xf numFmtId="0" fontId="20" fillId="0" borderId="0" xfId="0" applyFont="1" applyAlignment="1">
      <alignment horizontal="center"/>
    </xf>
    <xf numFmtId="37" fontId="0" fillId="7" borderId="2" xfId="21" applyNumberFormat="1" applyFont="1" applyFill="1" applyBorder="1" applyAlignment="1">
      <alignment horizontal="center"/>
    </xf>
    <xf numFmtId="0" fontId="2" fillId="2" borderId="0" xfId="1" applyFont="1" applyFill="1" applyAlignment="1">
      <alignment vertical="center"/>
    </xf>
    <xf numFmtId="0" fontId="2" fillId="0" borderId="0" xfId="18" applyAlignment="1">
      <alignment horizontal="left"/>
    </xf>
    <xf numFmtId="0" fontId="18" fillId="0" borderId="0" xfId="0" applyFont="1" applyAlignment="1">
      <alignment horizontal="center"/>
    </xf>
    <xf numFmtId="0" fontId="13" fillId="0" borderId="0" xfId="1" applyFont="1"/>
    <xf numFmtId="0" fontId="14" fillId="0" borderId="0" xfId="1" applyFont="1"/>
    <xf numFmtId="0" fontId="17" fillId="0" borderId="0" xfId="22" applyAlignment="1" applyProtection="1"/>
    <xf numFmtId="0" fontId="16" fillId="0" borderId="0" xfId="1" applyFont="1" applyAlignment="1">
      <alignment horizontal="left" indent="2"/>
    </xf>
    <xf numFmtId="0" fontId="15" fillId="0" borderId="0" xfId="1" applyFont="1"/>
    <xf numFmtId="0" fontId="13" fillId="0" borderId="0" xfId="1" applyFont="1" applyAlignment="1">
      <alignment wrapText="1"/>
    </xf>
    <xf numFmtId="0" fontId="13" fillId="0" borderId="0" xfId="1" applyFont="1" applyAlignment="1">
      <alignment horizontal="left" wrapText="1"/>
    </xf>
    <xf numFmtId="1" fontId="21" fillId="0" borderId="2" xfId="0" applyNumberFormat="1" applyFont="1" applyBorder="1" applyAlignment="1">
      <alignment horizontal="center"/>
    </xf>
    <xf numFmtId="168" fontId="0" fillId="0" borderId="0" xfId="0" applyNumberFormat="1"/>
    <xf numFmtId="0" fontId="22" fillId="0" borderId="2" xfId="0" applyFont="1" applyBorder="1"/>
    <xf numFmtId="0" fontId="22" fillId="0" borderId="0" xfId="0" applyFont="1"/>
    <xf numFmtId="3" fontId="0" fillId="0" borderId="2" xfId="0" applyNumberFormat="1" applyBorder="1" applyAlignment="1">
      <alignment horizontal="center"/>
    </xf>
    <xf numFmtId="0" fontId="21" fillId="0" borderId="0" xfId="0" applyFont="1" applyAlignment="1">
      <alignment horizontal="center"/>
    </xf>
    <xf numFmtId="5" fontId="8" fillId="0" borderId="2" xfId="3" applyNumberFormat="1" applyFont="1" applyFill="1" applyBorder="1" applyAlignment="1">
      <alignment horizontal="center" vertical="center"/>
    </xf>
    <xf numFmtId="9" fontId="0" fillId="0" borderId="0" xfId="23" applyFont="1" applyFill="1" applyBorder="1" applyAlignment="1">
      <alignment horizontal="center"/>
    </xf>
    <xf numFmtId="5" fontId="8" fillId="13" borderId="2" xfId="3" applyNumberFormat="1" applyFont="1" applyFill="1" applyBorder="1" applyAlignment="1">
      <alignment horizontal="center" vertical="center"/>
    </xf>
    <xf numFmtId="0" fontId="8" fillId="0" borderId="0" xfId="0" applyFont="1"/>
    <xf numFmtId="0" fontId="8" fillId="0" borderId="2" xfId="0" applyFont="1" applyBorder="1"/>
    <xf numFmtId="167" fontId="8" fillId="0" borderId="2" xfId="0" applyNumberFormat="1" applyFont="1" applyBorder="1" applyAlignment="1">
      <alignment horizontal="center"/>
    </xf>
    <xf numFmtId="0" fontId="8" fillId="5" borderId="2" xfId="0" applyFont="1" applyFill="1" applyBorder="1"/>
    <xf numFmtId="5" fontId="8" fillId="5" borderId="2" xfId="0" applyNumberFormat="1" applyFont="1" applyFill="1" applyBorder="1" applyAlignment="1">
      <alignment horizontal="center"/>
    </xf>
    <xf numFmtId="0" fontId="8" fillId="15" borderId="2" xfId="0" applyFont="1" applyFill="1" applyBorder="1"/>
    <xf numFmtId="5" fontId="8" fillId="0" borderId="2" xfId="0" applyNumberFormat="1" applyFont="1" applyBorder="1" applyAlignment="1">
      <alignment horizontal="center"/>
    </xf>
    <xf numFmtId="0" fontId="8" fillId="2" borderId="2" xfId="1" applyFont="1" applyFill="1" applyBorder="1" applyAlignment="1">
      <alignment horizontal="center" vertical="center"/>
    </xf>
    <xf numFmtId="5" fontId="8" fillId="15" borderId="2" xfId="0" applyNumberFormat="1" applyFont="1" applyFill="1" applyBorder="1" applyAlignment="1">
      <alignment horizontal="center"/>
    </xf>
    <xf numFmtId="0" fontId="0" fillId="0" borderId="0" xfId="18" applyFont="1" applyAlignment="1">
      <alignment horizontal="center"/>
    </xf>
    <xf numFmtId="164" fontId="8" fillId="2" borderId="2" xfId="13" applyNumberFormat="1" applyFont="1" applyFill="1" applyBorder="1" applyAlignment="1">
      <alignment horizontal="right" vertical="center"/>
    </xf>
    <xf numFmtId="168" fontId="0" fillId="5" borderId="2" xfId="0" applyNumberFormat="1" applyFill="1" applyBorder="1" applyAlignment="1">
      <alignment horizontal="center"/>
    </xf>
    <xf numFmtId="0" fontId="0" fillId="0" borderId="0" xfId="18" applyFont="1" applyAlignment="1">
      <alignment horizontal="left"/>
    </xf>
    <xf numFmtId="0" fontId="0" fillId="2" borderId="0" xfId="1" applyFont="1" applyFill="1" applyAlignment="1">
      <alignment vertical="center"/>
    </xf>
    <xf numFmtId="9" fontId="2" fillId="2" borderId="2" xfId="3" applyNumberFormat="1" applyFont="1" applyFill="1" applyBorder="1" applyAlignment="1">
      <alignment vertical="center"/>
    </xf>
    <xf numFmtId="9" fontId="0" fillId="0" borderId="2" xfId="23" applyFont="1" applyBorder="1"/>
    <xf numFmtId="10" fontId="0" fillId="0" borderId="3" xfId="0" applyNumberFormat="1" applyBorder="1" applyAlignment="1">
      <alignment horizontal="center"/>
    </xf>
    <xf numFmtId="10" fontId="0" fillId="0" borderId="4" xfId="0" applyNumberFormat="1" applyBorder="1" applyAlignment="1">
      <alignment horizontal="center"/>
    </xf>
    <xf numFmtId="5" fontId="8" fillId="0" borderId="2" xfId="0" applyNumberFormat="1" applyFont="1" applyBorder="1" applyAlignment="1">
      <alignment horizontal="right"/>
    </xf>
    <xf numFmtId="0" fontId="0" fillId="21" borderId="2" xfId="0" applyFill="1" applyBorder="1"/>
    <xf numFmtId="9" fontId="0" fillId="21" borderId="2" xfId="23" applyFont="1" applyFill="1" applyBorder="1"/>
    <xf numFmtId="5" fontId="8" fillId="21" borderId="2" xfId="0" applyNumberFormat="1" applyFont="1" applyFill="1" applyBorder="1" applyAlignment="1">
      <alignment horizontal="right"/>
    </xf>
    <xf numFmtId="10" fontId="0" fillId="21" borderId="3" xfId="0" applyNumberFormat="1" applyFill="1" applyBorder="1" applyAlignment="1">
      <alignment horizontal="center"/>
    </xf>
    <xf numFmtId="10" fontId="0" fillId="21" borderId="4" xfId="0" applyNumberFormat="1" applyFill="1" applyBorder="1" applyAlignment="1">
      <alignment horizontal="center"/>
    </xf>
    <xf numFmtId="5" fontId="0" fillId="21" borderId="2" xfId="0" applyNumberFormat="1" applyFill="1" applyBorder="1"/>
    <xf numFmtId="0" fontId="0" fillId="6" borderId="2" xfId="0" applyFill="1" applyBorder="1"/>
    <xf numFmtId="37" fontId="8" fillId="6" borderId="2" xfId="0" applyNumberFormat="1" applyFont="1" applyFill="1" applyBorder="1" applyAlignment="1">
      <alignment horizontal="right"/>
    </xf>
    <xf numFmtId="37" fontId="8" fillId="0" borderId="2" xfId="0" applyNumberFormat="1" applyFont="1" applyBorder="1" applyAlignment="1">
      <alignment horizontal="right"/>
    </xf>
    <xf numFmtId="2" fontId="0" fillId="0" borderId="4" xfId="0" applyNumberFormat="1" applyBorder="1"/>
    <xf numFmtId="9" fontId="0" fillId="0" borderId="2" xfId="0" applyNumberFormat="1" applyBorder="1" applyAlignment="1">
      <alignment horizontal="center"/>
    </xf>
    <xf numFmtId="2" fontId="0" fillId="0" borderId="2" xfId="0" applyNumberFormat="1" applyBorder="1" applyAlignment="1">
      <alignment horizontal="center"/>
    </xf>
    <xf numFmtId="3" fontId="0" fillId="22" borderId="2" xfId="0" applyNumberFormat="1" applyFill="1" applyBorder="1" applyAlignment="1">
      <alignment horizontal="center"/>
    </xf>
    <xf numFmtId="0" fontId="0" fillId="0" borderId="6" xfId="0" applyBorder="1" applyAlignment="1">
      <alignment horizontal="center"/>
    </xf>
    <xf numFmtId="0" fontId="0" fillId="2" borderId="4" xfId="1" applyFont="1" applyFill="1" applyBorder="1" applyAlignment="1">
      <alignment horizontal="left" vertical="center" wrapText="1"/>
    </xf>
    <xf numFmtId="0" fontId="2" fillId="2" borderId="4" xfId="1" applyFont="1" applyFill="1" applyBorder="1" applyAlignment="1">
      <alignment vertical="center"/>
    </xf>
    <xf numFmtId="0" fontId="0" fillId="2" borderId="4" xfId="1" applyFont="1" applyFill="1" applyBorder="1" applyAlignment="1">
      <alignment vertical="center"/>
    </xf>
    <xf numFmtId="5" fontId="2" fillId="3" borderId="8" xfId="3" applyNumberFormat="1" applyFont="1" applyFill="1" applyBorder="1" applyAlignment="1">
      <alignment horizontal="center" vertical="center"/>
    </xf>
    <xf numFmtId="3" fontId="0" fillId="19" borderId="2" xfId="0" applyNumberFormat="1" applyFill="1" applyBorder="1" applyAlignment="1">
      <alignment horizontal="center"/>
    </xf>
    <xf numFmtId="3" fontId="21" fillId="22" borderId="2" xfId="0" applyNumberFormat="1" applyFont="1" applyFill="1" applyBorder="1" applyAlignment="1">
      <alignment horizontal="center"/>
    </xf>
    <xf numFmtId="1" fontId="0" fillId="0" borderId="6" xfId="0" applyNumberFormat="1" applyBorder="1" applyAlignment="1">
      <alignment horizontal="center"/>
    </xf>
    <xf numFmtId="168" fontId="0" fillId="0" borderId="15" xfId="0" applyNumberFormat="1" applyBorder="1" applyAlignment="1">
      <alignment horizontal="center"/>
    </xf>
    <xf numFmtId="0" fontId="3" fillId="2" borderId="2" xfId="1" applyFont="1" applyFill="1" applyBorder="1" applyAlignment="1">
      <alignment horizontal="left" vertical="center"/>
    </xf>
    <xf numFmtId="5" fontId="2" fillId="0" borderId="15" xfId="3" applyNumberFormat="1" applyFont="1" applyFill="1" applyBorder="1" applyAlignment="1" applyProtection="1">
      <alignment horizontal="center" vertical="center"/>
    </xf>
    <xf numFmtId="0" fontId="0" fillId="0" borderId="0" xfId="0" applyAlignment="1">
      <alignment horizontal="left"/>
    </xf>
    <xf numFmtId="0" fontId="0" fillId="0" borderId="22" xfId="0" applyBorder="1" applyAlignment="1">
      <alignment horizontal="center" vertical="center" wrapText="1"/>
    </xf>
    <xf numFmtId="1" fontId="0" fillId="0" borderId="0" xfId="0" applyNumberFormat="1"/>
    <xf numFmtId="0" fontId="0" fillId="2" borderId="2" xfId="1" applyFont="1" applyFill="1" applyBorder="1" applyAlignment="1">
      <alignment vertical="center"/>
    </xf>
    <xf numFmtId="0" fontId="0" fillId="2" borderId="2" xfId="1" applyFont="1" applyFill="1" applyBorder="1" applyAlignment="1">
      <alignment horizontal="center" vertical="center"/>
    </xf>
    <xf numFmtId="5" fontId="0" fillId="0" borderId="0" xfId="0" applyNumberFormat="1"/>
    <xf numFmtId="0" fontId="28" fillId="0" borderId="22" xfId="0" applyFont="1" applyBorder="1" applyAlignment="1">
      <alignment horizontal="left" vertical="center"/>
    </xf>
    <xf numFmtId="168" fontId="2" fillId="0" borderId="3" xfId="3" applyNumberFormat="1" applyFont="1" applyFill="1" applyBorder="1" applyAlignment="1" applyProtection="1">
      <alignment horizontal="center"/>
    </xf>
    <xf numFmtId="0" fontId="2" fillId="0" borderId="12" xfId="1" applyFont="1" applyBorder="1" applyAlignment="1">
      <alignment horizontal="center" vertical="center"/>
    </xf>
    <xf numFmtId="5" fontId="0" fillId="2" borderId="15" xfId="3" applyNumberFormat="1" applyFont="1" applyFill="1" applyBorder="1" applyAlignment="1" applyProtection="1">
      <alignment horizontal="center" vertical="center"/>
    </xf>
    <xf numFmtId="5" fontId="0" fillId="0" borderId="15" xfId="24" applyNumberFormat="1" applyFont="1" applyBorder="1" applyAlignment="1" applyProtection="1">
      <alignment horizontal="center" vertical="center"/>
    </xf>
    <xf numFmtId="165" fontId="0" fillId="0" borderId="2" xfId="0" applyNumberFormat="1" applyBorder="1" applyAlignment="1">
      <alignment vertical="center"/>
    </xf>
    <xf numFmtId="1" fontId="2" fillId="3" borderId="14" xfId="3" applyNumberFormat="1" applyFont="1" applyFill="1" applyBorder="1" applyAlignment="1" applyProtection="1">
      <alignment horizontal="center" vertical="center"/>
      <protection locked="0"/>
    </xf>
    <xf numFmtId="1" fontId="2" fillId="3" borderId="14" xfId="1" applyNumberFormat="1" applyFont="1" applyFill="1" applyBorder="1" applyAlignment="1" applyProtection="1">
      <alignment horizontal="center" vertical="center"/>
      <protection locked="0"/>
    </xf>
    <xf numFmtId="7" fontId="8" fillId="24" borderId="8" xfId="13" applyNumberFormat="1" applyFont="1" applyFill="1" applyBorder="1" applyAlignment="1" applyProtection="1">
      <alignment horizontal="center" vertical="center"/>
      <protection locked="0"/>
    </xf>
    <xf numFmtId="171" fontId="8" fillId="24" borderId="8" xfId="13" applyNumberFormat="1" applyFont="1" applyFill="1" applyBorder="1" applyAlignment="1" applyProtection="1">
      <alignment horizontal="center" vertical="center"/>
      <protection locked="0"/>
    </xf>
    <xf numFmtId="164" fontId="8" fillId="24" borderId="8" xfId="13" applyNumberFormat="1" applyFont="1" applyFill="1" applyBorder="1" applyAlignment="1" applyProtection="1">
      <alignment horizontal="center" vertical="center"/>
      <protection locked="0"/>
    </xf>
    <xf numFmtId="166" fontId="8" fillId="24" borderId="8" xfId="13" applyNumberFormat="1" applyFont="1" applyFill="1" applyBorder="1" applyAlignment="1" applyProtection="1">
      <alignment horizontal="center" vertical="center"/>
      <protection locked="0"/>
    </xf>
    <xf numFmtId="7" fontId="8" fillId="3" borderId="8" xfId="12" applyNumberFormat="1" applyFont="1" applyFill="1" applyBorder="1" applyAlignment="1" applyProtection="1">
      <alignment horizontal="center" vertical="center"/>
      <protection locked="0"/>
    </xf>
    <xf numFmtId="164" fontId="8" fillId="3" borderId="8" xfId="13" applyNumberFormat="1" applyFont="1" applyFill="1" applyBorder="1" applyAlignment="1" applyProtection="1">
      <alignment horizontal="center" vertical="center"/>
      <protection locked="0"/>
    </xf>
    <xf numFmtId="167" fontId="8" fillId="3" borderId="8" xfId="14" applyNumberFormat="1" applyFont="1" applyFill="1" applyBorder="1" applyAlignment="1" applyProtection="1">
      <alignment horizontal="center" vertical="center"/>
      <protection locked="0"/>
    </xf>
    <xf numFmtId="7" fontId="2" fillId="3" borderId="8" xfId="3" applyNumberFormat="1" applyFont="1" applyFill="1" applyBorder="1" applyAlignment="1" applyProtection="1">
      <alignment horizontal="center" vertical="center"/>
      <protection locked="0"/>
    </xf>
    <xf numFmtId="9" fontId="2" fillId="3" borderId="8" xfId="3"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21" fillId="0" borderId="0" xfId="1" applyFont="1" applyAlignment="1">
      <alignment horizontal="left" vertical="center" wrapText="1"/>
    </xf>
    <xf numFmtId="0" fontId="10" fillId="2" borderId="0" xfId="10" applyFont="1" applyFill="1" applyAlignment="1">
      <alignment horizontal="left" vertical="center"/>
    </xf>
    <xf numFmtId="5" fontId="0" fillId="2" borderId="2" xfId="3" applyNumberFormat="1" applyFont="1" applyFill="1" applyBorder="1" applyAlignment="1" applyProtection="1">
      <alignment horizontal="center" vertical="center"/>
    </xf>
    <xf numFmtId="0" fontId="0" fillId="2" borderId="0" xfId="10" applyFont="1" applyFill="1" applyAlignment="1">
      <alignment horizontal="left" vertical="center"/>
    </xf>
    <xf numFmtId="0" fontId="6" fillId="2" borderId="0" xfId="10" applyFont="1" applyFill="1" applyAlignment="1">
      <alignment horizontal="right" vertical="center"/>
    </xf>
    <xf numFmtId="5" fontId="2" fillId="0" borderId="0" xfId="3" applyNumberFormat="1" applyFont="1" applyFill="1" applyBorder="1" applyAlignment="1" applyProtection="1">
      <alignment horizontal="center" vertical="center"/>
    </xf>
    <xf numFmtId="0" fontId="0" fillId="2" borderId="0" xfId="1" applyFont="1" applyFill="1" applyAlignment="1">
      <alignment horizontal="center" vertical="center"/>
    </xf>
    <xf numFmtId="169" fontId="8" fillId="3" borderId="8" xfId="13" applyNumberFormat="1" applyFont="1" applyFill="1" applyBorder="1" applyAlignment="1" applyProtection="1">
      <alignment horizontal="center" vertical="center"/>
      <protection locked="0"/>
    </xf>
    <xf numFmtId="169" fontId="8" fillId="2" borderId="2" xfId="13" applyNumberFormat="1" applyFont="1" applyFill="1" applyBorder="1" applyAlignment="1">
      <alignment vertical="center"/>
    </xf>
    <xf numFmtId="169" fontId="8" fillId="0" borderId="27" xfId="13" applyNumberFormat="1" applyFont="1" applyFill="1" applyBorder="1" applyAlignment="1" applyProtection="1">
      <alignment horizontal="center" vertical="center"/>
    </xf>
    <xf numFmtId="171" fontId="8" fillId="0" borderId="26" xfId="3" applyNumberFormat="1" applyFont="1" applyFill="1" applyBorder="1" applyAlignment="1" applyProtection="1">
      <alignment horizontal="center" vertical="center"/>
    </xf>
    <xf numFmtId="7" fontId="8" fillId="3" borderId="28" xfId="3" applyNumberFormat="1" applyFont="1" applyFill="1" applyBorder="1" applyAlignment="1" applyProtection="1">
      <alignment horizontal="center" vertical="center"/>
      <protection locked="0"/>
    </xf>
    <xf numFmtId="7" fontId="8" fillId="2" borderId="2" xfId="3" applyNumberFormat="1" applyFont="1" applyFill="1" applyBorder="1" applyAlignment="1">
      <alignment horizontal="center" vertical="center"/>
    </xf>
    <xf numFmtId="0" fontId="3" fillId="2" borderId="0" xfId="1" applyFont="1" applyFill="1" applyAlignment="1">
      <alignment horizontal="center" vertical="center" wrapText="1"/>
    </xf>
    <xf numFmtId="0" fontId="24" fillId="0" borderId="0" xfId="0" applyFont="1" applyAlignment="1">
      <alignment horizontal="center"/>
    </xf>
    <xf numFmtId="169" fontId="8" fillId="3" borderId="8" xfId="14" applyNumberFormat="1" applyFont="1" applyFill="1" applyBorder="1" applyAlignment="1" applyProtection="1">
      <alignment horizontal="center" vertical="center"/>
      <protection locked="0"/>
    </xf>
    <xf numFmtId="166" fontId="2" fillId="0" borderId="4" xfId="1" applyNumberFormat="1" applyFont="1" applyBorder="1" applyAlignment="1">
      <alignment horizontal="center"/>
    </xf>
    <xf numFmtId="166" fontId="2" fillId="0" borderId="0" xfId="1" applyNumberFormat="1" applyFont="1" applyAlignment="1">
      <alignment horizontal="center"/>
    </xf>
    <xf numFmtId="3" fontId="2" fillId="3" borderId="10" xfId="18" applyNumberFormat="1" applyFill="1" applyBorder="1" applyAlignment="1" applyProtection="1">
      <alignment horizontal="center"/>
      <protection locked="0"/>
    </xf>
    <xf numFmtId="0" fontId="2" fillId="3" borderId="8" xfId="18" applyFill="1" applyBorder="1" applyAlignment="1" applyProtection="1">
      <alignment horizontal="center"/>
      <protection locked="0"/>
    </xf>
    <xf numFmtId="164" fontId="2" fillId="3" borderId="8" xfId="20" applyNumberFormat="1" applyFont="1" applyFill="1" applyBorder="1" applyAlignment="1" applyProtection="1">
      <alignment horizontal="center"/>
      <protection locked="0"/>
    </xf>
    <xf numFmtId="5" fontId="2" fillId="3" borderId="8" xfId="19" applyNumberFormat="1" applyFont="1" applyFill="1" applyBorder="1" applyAlignment="1" applyProtection="1">
      <alignment horizontal="center"/>
      <protection locked="0"/>
    </xf>
    <xf numFmtId="168" fontId="2" fillId="0" borderId="0" xfId="3" applyNumberFormat="1" applyFont="1" applyFill="1" applyBorder="1" applyAlignment="1" applyProtection="1">
      <alignment horizontal="center"/>
    </xf>
    <xf numFmtId="5" fontId="2" fillId="0" borderId="0" xfId="19" applyNumberFormat="1" applyFont="1" applyFill="1" applyBorder="1" applyAlignment="1" applyProtection="1">
      <alignment horizontal="center"/>
      <protection locked="0"/>
    </xf>
    <xf numFmtId="3" fontId="2" fillId="0" borderId="0" xfId="18" applyNumberFormat="1" applyAlignment="1" applyProtection="1">
      <alignment horizontal="center"/>
      <protection locked="0"/>
    </xf>
    <xf numFmtId="0" fontId="2" fillId="0" borderId="0" xfId="18" applyAlignment="1" applyProtection="1">
      <alignment horizontal="center"/>
      <protection locked="0"/>
    </xf>
    <xf numFmtId="166" fontId="9" fillId="0" borderId="0" xfId="18" applyNumberFormat="1" applyFont="1" applyAlignment="1">
      <alignment horizontal="center"/>
    </xf>
    <xf numFmtId="1" fontId="2" fillId="0" borderId="0" xfId="1" applyNumberFormat="1" applyFont="1" applyAlignment="1" applyProtection="1">
      <alignment horizontal="center" vertical="center"/>
      <protection locked="0"/>
    </xf>
    <xf numFmtId="0" fontId="0" fillId="2" borderId="0" xfId="1" applyFont="1" applyFill="1" applyAlignment="1">
      <alignment horizontal="left" vertical="center"/>
    </xf>
    <xf numFmtId="166" fontId="3" fillId="0" borderId="0" xfId="18" applyNumberFormat="1" applyFont="1" applyAlignment="1" applyProtection="1">
      <alignment horizontal="center"/>
      <protection locked="0"/>
    </xf>
    <xf numFmtId="164" fontId="2" fillId="0" borderId="0" xfId="20" applyNumberFormat="1" applyFont="1" applyFill="1" applyBorder="1" applyAlignment="1" applyProtection="1">
      <alignment horizontal="center"/>
      <protection locked="0"/>
    </xf>
    <xf numFmtId="166" fontId="2" fillId="0" borderId="29" xfId="1" applyNumberFormat="1" applyFont="1" applyBorder="1" applyAlignment="1">
      <alignment horizontal="center"/>
    </xf>
    <xf numFmtId="168" fontId="2" fillId="0" borderId="30" xfId="3" applyNumberFormat="1" applyFont="1" applyFill="1" applyBorder="1" applyAlignment="1" applyProtection="1">
      <alignment horizontal="center"/>
    </xf>
    <xf numFmtId="1" fontId="2" fillId="3" borderId="31" xfId="1" applyNumberFormat="1" applyFont="1" applyFill="1" applyBorder="1" applyAlignment="1" applyProtection="1">
      <alignment horizontal="center" vertical="center"/>
      <protection locked="0"/>
    </xf>
    <xf numFmtId="0" fontId="0" fillId="0" borderId="0" xfId="0" applyProtection="1">
      <protection locked="0"/>
    </xf>
    <xf numFmtId="0" fontId="3" fillId="0" borderId="0" xfId="0" applyFont="1"/>
    <xf numFmtId="0" fontId="24" fillId="0" borderId="0" xfId="0" applyFont="1"/>
    <xf numFmtId="0" fontId="21" fillId="0" borderId="0" xfId="0" applyFont="1"/>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vertical="center"/>
    </xf>
    <xf numFmtId="0" fontId="21" fillId="2" borderId="11" xfId="10" applyFont="1" applyFill="1" applyBorder="1" applyAlignment="1">
      <alignment horizontal="left" vertical="center"/>
    </xf>
    <xf numFmtId="0" fontId="0" fillId="3" borderId="14" xfId="0" applyFill="1" applyBorder="1"/>
    <xf numFmtId="0" fontId="0" fillId="0" borderId="14" xfId="0" applyBorder="1"/>
    <xf numFmtId="166" fontId="2" fillId="3" borderId="24" xfId="18" applyNumberFormat="1" applyFill="1" applyBorder="1" applyAlignment="1" applyProtection="1">
      <alignment horizontal="center"/>
      <protection locked="0"/>
    </xf>
    <xf numFmtId="0" fontId="28" fillId="0" borderId="22" xfId="0" applyFont="1" applyBorder="1" applyAlignment="1">
      <alignment vertical="center"/>
    </xf>
    <xf numFmtId="0" fontId="12" fillId="0" borderId="0" xfId="0" applyFont="1" applyAlignment="1">
      <alignment horizontal="center" wrapText="1"/>
    </xf>
    <xf numFmtId="0" fontId="10" fillId="0" borderId="0" xfId="0" applyFont="1" applyAlignment="1">
      <alignment horizontal="left"/>
    </xf>
    <xf numFmtId="0" fontId="28" fillId="0" borderId="0" xfId="0" applyFont="1" applyAlignment="1">
      <alignment vertical="center"/>
    </xf>
    <xf numFmtId="0" fontId="21" fillId="0" borderId="22" xfId="0" applyFont="1" applyBorder="1" applyAlignment="1">
      <alignment horizontal="left" vertical="top"/>
    </xf>
    <xf numFmtId="0" fontId="0" fillId="6" borderId="14" xfId="0" applyFill="1" applyBorder="1"/>
    <xf numFmtId="0" fontId="0" fillId="26" borderId="14" xfId="0" applyFill="1" applyBorder="1"/>
    <xf numFmtId="0" fontId="0" fillId="26" borderId="14" xfId="1" applyFont="1" applyFill="1" applyBorder="1" applyAlignment="1" applyProtection="1">
      <alignment horizontal="center" vertical="center"/>
      <protection locked="0"/>
    </xf>
    <xf numFmtId="0" fontId="6" fillId="0" borderId="0" xfId="0" applyFont="1"/>
    <xf numFmtId="7" fontId="8" fillId="24" borderId="17" xfId="13" applyNumberFormat="1" applyFont="1" applyFill="1" applyBorder="1" applyAlignment="1" applyProtection="1">
      <alignment horizontal="center" vertical="center"/>
      <protection locked="0"/>
    </xf>
    <xf numFmtId="7" fontId="2" fillId="3" borderId="17" xfId="3" applyNumberFormat="1" applyFont="1" applyFill="1" applyBorder="1" applyAlignment="1" applyProtection="1">
      <alignment horizontal="center" vertical="center"/>
      <protection locked="0"/>
    </xf>
    <xf numFmtId="0" fontId="33" fillId="0" borderId="0" xfId="0" applyFont="1" applyAlignment="1">
      <alignment horizontal="left" vertical="center"/>
    </xf>
    <xf numFmtId="0" fontId="8" fillId="2" borderId="4" xfId="1" applyFont="1" applyFill="1" applyBorder="1" applyAlignment="1">
      <alignment horizontal="left" vertical="center" wrapText="1"/>
    </xf>
    <xf numFmtId="0" fontId="34" fillId="0" borderId="0" xfId="1" applyFont="1" applyAlignment="1">
      <alignment horizontal="left" vertical="center"/>
    </xf>
    <xf numFmtId="0" fontId="28" fillId="0" borderId="22" xfId="0" applyFont="1" applyBorder="1"/>
    <xf numFmtId="0" fontId="0" fillId="26" borderId="14" xfId="1" applyFont="1" applyFill="1" applyBorder="1" applyAlignment="1" applyProtection="1">
      <alignment horizontal="center" vertical="center" wrapText="1"/>
      <protection locked="0"/>
    </xf>
    <xf numFmtId="0" fontId="37" fillId="0" borderId="0" xfId="0" applyFont="1"/>
    <xf numFmtId="9" fontId="8" fillId="3" borderId="8" xfId="13" quotePrefix="1" applyNumberFormat="1" applyFont="1" applyFill="1" applyBorder="1" applyAlignment="1" applyProtection="1">
      <alignment horizontal="center" vertical="center"/>
      <protection locked="0"/>
    </xf>
    <xf numFmtId="173" fontId="2" fillId="27" borderId="8" xfId="3" applyNumberFormat="1" applyFont="1" applyFill="1" applyBorder="1" applyAlignment="1" applyProtection="1">
      <alignment horizontal="center" vertical="center"/>
      <protection locked="0"/>
    </xf>
    <xf numFmtId="0" fontId="0" fillId="27" borderId="4" xfId="1" applyFont="1" applyFill="1" applyBorder="1" applyAlignment="1">
      <alignment vertical="center"/>
    </xf>
    <xf numFmtId="173" fontId="2" fillId="27" borderId="2" xfId="3" applyNumberFormat="1" applyFont="1" applyFill="1" applyBorder="1" applyAlignment="1">
      <alignment vertical="center"/>
    </xf>
    <xf numFmtId="5" fontId="2" fillId="27" borderId="8" xfId="3" applyNumberFormat="1" applyFont="1" applyFill="1" applyBorder="1" applyAlignment="1" applyProtection="1">
      <alignment horizontal="center" vertical="center"/>
      <protection locked="0"/>
    </xf>
    <xf numFmtId="5" fontId="2" fillId="27" borderId="2" xfId="3" applyNumberFormat="1" applyFont="1" applyFill="1" applyBorder="1" applyAlignment="1">
      <alignment vertical="center"/>
    </xf>
    <xf numFmtId="3" fontId="0" fillId="0" borderId="0" xfId="0" applyNumberFormat="1"/>
    <xf numFmtId="1" fontId="0" fillId="0" borderId="0" xfId="23" applyNumberFormat="1" applyFont="1" applyFill="1" applyBorder="1" applyAlignment="1">
      <alignment horizontal="center"/>
    </xf>
    <xf numFmtId="168" fontId="0" fillId="22" borderId="2" xfId="0" applyNumberFormat="1" applyFill="1" applyBorder="1" applyAlignment="1">
      <alignment horizontal="center"/>
    </xf>
    <xf numFmtId="37" fontId="0" fillId="0" borderId="0" xfId="21" applyNumberFormat="1" applyFont="1" applyFill="1" applyBorder="1" applyAlignment="1">
      <alignment horizontal="center"/>
    </xf>
    <xf numFmtId="174" fontId="0" fillId="0" borderId="0" xfId="21" applyNumberFormat="1" applyFont="1" applyFill="1" applyBorder="1" applyAlignment="1"/>
    <xf numFmtId="0" fontId="3" fillId="2" borderId="3" xfId="1" applyFont="1" applyFill="1" applyBorder="1" applyAlignment="1">
      <alignment vertical="center"/>
    </xf>
    <xf numFmtId="0" fontId="3" fillId="2" borderId="7" xfId="1" applyFont="1" applyFill="1" applyBorder="1" applyAlignment="1">
      <alignment vertical="center"/>
    </xf>
    <xf numFmtId="0" fontId="3" fillId="2" borderId="4" xfId="1" applyFont="1" applyFill="1" applyBorder="1" applyAlignment="1">
      <alignment vertical="center"/>
    </xf>
    <xf numFmtId="166" fontId="0" fillId="0" borderId="11" xfId="0" applyNumberFormat="1" applyBorder="1" applyAlignment="1">
      <alignment horizontal="center"/>
    </xf>
    <xf numFmtId="0" fontId="0" fillId="0" borderId="0" xfId="1" applyFont="1" applyAlignment="1">
      <alignment horizontal="right" vertical="center"/>
    </xf>
    <xf numFmtId="0" fontId="0" fillId="0" borderId="13" xfId="0" applyBorder="1"/>
    <xf numFmtId="0" fontId="0" fillId="0" borderId="22" xfId="0" applyBorder="1"/>
    <xf numFmtId="3" fontId="0" fillId="22" borderId="6" xfId="0" applyNumberFormat="1" applyFill="1" applyBorder="1" applyAlignment="1">
      <alignment horizontal="center"/>
    </xf>
    <xf numFmtId="0" fontId="0" fillId="0" borderId="11" xfId="1" applyFont="1" applyBorder="1" applyAlignment="1">
      <alignment horizontal="left" vertical="center"/>
    </xf>
    <xf numFmtId="166" fontId="0" fillId="0" borderId="0" xfId="0" applyNumberFormat="1" applyAlignment="1">
      <alignment horizontal="center"/>
    </xf>
    <xf numFmtId="0" fontId="2" fillId="0" borderId="7" xfId="1" applyFont="1" applyBorder="1" applyAlignment="1">
      <alignment horizontal="right" vertical="center"/>
    </xf>
    <xf numFmtId="0" fontId="2" fillId="0" borderId="4" xfId="1" applyFont="1" applyBorder="1" applyAlignment="1">
      <alignment horizontal="right" vertical="center"/>
    </xf>
    <xf numFmtId="0" fontId="12" fillId="0" borderId="3" xfId="1" applyFont="1" applyBorder="1" applyAlignment="1">
      <alignment horizontal="left" vertical="center"/>
    </xf>
    <xf numFmtId="0" fontId="0" fillId="0" borderId="3" xfId="18" applyFont="1" applyBorder="1" applyAlignment="1">
      <alignment horizontal="center"/>
    </xf>
    <xf numFmtId="0" fontId="0" fillId="0" borderId="3" xfId="18" applyFont="1" applyBorder="1" applyAlignment="1">
      <alignment horizontal="center" wrapText="1"/>
    </xf>
    <xf numFmtId="0" fontId="0" fillId="0" borderId="0" xfId="1" applyFont="1" applyAlignment="1">
      <alignment vertical="center"/>
    </xf>
    <xf numFmtId="167" fontId="8" fillId="0" borderId="2" xfId="14" applyNumberFormat="1" applyFont="1" applyBorder="1" applyAlignment="1">
      <alignment vertical="center"/>
    </xf>
    <xf numFmtId="10" fontId="2" fillId="2" borderId="2" xfId="1" applyNumberFormat="1" applyFont="1" applyFill="1" applyBorder="1" applyAlignment="1">
      <alignment vertical="center"/>
    </xf>
    <xf numFmtId="10" fontId="2" fillId="23" borderId="8" xfId="1" applyNumberFormat="1" applyFont="1" applyFill="1" applyBorder="1" applyAlignment="1" applyProtection="1">
      <alignment horizontal="center" vertical="center"/>
      <protection locked="0"/>
    </xf>
    <xf numFmtId="175" fontId="2" fillId="3" borderId="16" xfId="4" applyNumberFormat="1" applyFont="1" applyFill="1" applyBorder="1" applyAlignment="1" applyProtection="1">
      <alignment horizontal="center" vertical="center"/>
      <protection locked="0"/>
    </xf>
    <xf numFmtId="0" fontId="0" fillId="2" borderId="0" xfId="0" applyFill="1"/>
    <xf numFmtId="0" fontId="0" fillId="2" borderId="0" xfId="0" applyFill="1" applyAlignment="1">
      <alignment horizontal="left" vertical="top"/>
    </xf>
    <xf numFmtId="0" fontId="40" fillId="2" borderId="0" xfId="0" applyFont="1" applyFill="1" applyAlignment="1">
      <alignment horizontal="left" vertical="top"/>
    </xf>
    <xf numFmtId="0" fontId="43" fillId="2" borderId="0" xfId="0" applyFont="1" applyFill="1"/>
    <xf numFmtId="0" fontId="44" fillId="2" borderId="0" xfId="0" applyFont="1" applyFill="1" applyAlignment="1">
      <alignment horizontal="left" vertical="top"/>
    </xf>
    <xf numFmtId="0" fontId="45" fillId="2" borderId="0" xfId="0" applyFont="1" applyFill="1"/>
    <xf numFmtId="0" fontId="0" fillId="28" borderId="0" xfId="0" applyFill="1" applyAlignment="1">
      <alignment horizontal="left" vertical="top"/>
    </xf>
    <xf numFmtId="0" fontId="41" fillId="2" borderId="0" xfId="0" applyFont="1" applyFill="1" applyAlignment="1">
      <alignment horizontal="left" vertical="center"/>
    </xf>
    <xf numFmtId="0" fontId="20" fillId="28" borderId="0" xfId="0" applyFont="1" applyFill="1" applyAlignment="1">
      <alignment vertical="center"/>
    </xf>
    <xf numFmtId="0" fontId="44" fillId="2" borderId="0" xfId="0" applyFont="1" applyFill="1"/>
    <xf numFmtId="0" fontId="46" fillId="2" borderId="0" xfId="0" applyFont="1" applyFill="1"/>
    <xf numFmtId="0" fontId="47" fillId="2" borderId="0" xfId="0" applyFont="1" applyFill="1"/>
    <xf numFmtId="0" fontId="23" fillId="2" borderId="0" xfId="0" applyFont="1" applyFill="1" applyAlignment="1">
      <alignment horizontal="left" vertical="top"/>
    </xf>
    <xf numFmtId="0" fontId="23" fillId="2" borderId="0" xfId="0" applyFont="1" applyFill="1"/>
    <xf numFmtId="0" fontId="46" fillId="2" borderId="0" xfId="0" applyFont="1" applyFill="1" applyAlignment="1">
      <alignment vertical="top"/>
    </xf>
    <xf numFmtId="0" fontId="23" fillId="0" borderId="0" xfId="0" applyFont="1"/>
    <xf numFmtId="0" fontId="42" fillId="0" borderId="0" xfId="0" applyFont="1" applyAlignment="1">
      <alignment horizontal="left" vertical="center" indent="5"/>
    </xf>
    <xf numFmtId="0" fontId="23" fillId="28" borderId="0" xfId="0" applyFont="1" applyFill="1"/>
    <xf numFmtId="0" fontId="36" fillId="2" borderId="0" xfId="0" applyFont="1" applyFill="1"/>
    <xf numFmtId="0" fontId="46" fillId="0" borderId="0" xfId="0" applyFont="1"/>
    <xf numFmtId="0" fontId="20" fillId="0" borderId="0" xfId="0" applyFont="1"/>
    <xf numFmtId="0" fontId="20" fillId="0" borderId="0" xfId="0" applyFont="1" applyAlignment="1">
      <alignment horizontal="left" vertical="center"/>
    </xf>
    <xf numFmtId="0" fontId="35" fillId="0" borderId="0" xfId="0" applyFont="1" applyAlignment="1">
      <alignment vertical="top"/>
    </xf>
    <xf numFmtId="0" fontId="35" fillId="0" borderId="0" xfId="0" applyFont="1"/>
    <xf numFmtId="0" fontId="52" fillId="2" borderId="0" xfId="0" applyFont="1" applyFill="1"/>
    <xf numFmtId="1" fontId="0" fillId="6" borderId="8" xfId="0" applyNumberFormat="1" applyFill="1" applyBorder="1" applyAlignment="1" applyProtection="1">
      <alignment horizontal="center"/>
      <protection locked="0"/>
    </xf>
    <xf numFmtId="0" fontId="17" fillId="0" borderId="0" xfId="22" applyAlignment="1" applyProtection="1">
      <protection locked="0"/>
    </xf>
    <xf numFmtId="0" fontId="17" fillId="2" borderId="4" xfId="22" applyFill="1" applyBorder="1" applyAlignment="1" applyProtection="1">
      <alignment horizontal="left" vertical="center"/>
      <protection locked="0"/>
    </xf>
    <xf numFmtId="0" fontId="17" fillId="2" borderId="4" xfId="22" applyFill="1" applyBorder="1" applyAlignment="1" applyProtection="1">
      <alignment vertical="center"/>
      <protection locked="0"/>
    </xf>
    <xf numFmtId="0" fontId="38" fillId="0" borderId="0" xfId="22" applyFont="1" applyAlignment="1" applyProtection="1">
      <protection locked="0"/>
    </xf>
    <xf numFmtId="0" fontId="53" fillId="0" borderId="0" xfId="0" applyFont="1"/>
    <xf numFmtId="0" fontId="23" fillId="2" borderId="0" xfId="0" applyFont="1" applyFill="1" applyProtection="1">
      <protection locked="0"/>
    </xf>
    <xf numFmtId="0" fontId="6" fillId="2" borderId="3" xfId="10" applyFont="1" applyFill="1" applyBorder="1" applyAlignment="1">
      <alignment horizontal="right" vertical="center"/>
    </xf>
    <xf numFmtId="0" fontId="6" fillId="2" borderId="4" xfId="10" applyFont="1" applyFill="1" applyBorder="1" applyAlignment="1">
      <alignment horizontal="right" vertical="center"/>
    </xf>
    <xf numFmtId="0" fontId="0" fillId="0" borderId="2" xfId="10" applyFont="1" applyBorder="1" applyAlignment="1">
      <alignment horizontal="left" vertical="center"/>
    </xf>
    <xf numFmtId="0" fontId="10" fillId="0" borderId="3" xfId="0" applyFont="1" applyBorder="1" applyAlignment="1">
      <alignment horizontal="center"/>
    </xf>
    <xf numFmtId="0" fontId="10" fillId="0" borderId="4" xfId="0" applyFont="1" applyBorder="1" applyAlignment="1">
      <alignment horizontal="center"/>
    </xf>
    <xf numFmtId="0" fontId="28" fillId="2" borderId="3" xfId="1" applyFont="1" applyFill="1" applyBorder="1" applyAlignment="1">
      <alignment horizontal="center" vertical="center"/>
    </xf>
    <xf numFmtId="0" fontId="29" fillId="2" borderId="7" xfId="1" applyFont="1" applyFill="1" applyBorder="1" applyAlignment="1">
      <alignment horizontal="center" vertical="center"/>
    </xf>
    <xf numFmtId="0" fontId="29" fillId="2" borderId="4" xfId="1" applyFont="1" applyFill="1" applyBorder="1" applyAlignment="1">
      <alignment horizontal="center" vertical="center"/>
    </xf>
    <xf numFmtId="0" fontId="3" fillId="2" borderId="2" xfId="1" applyFont="1" applyFill="1" applyBorder="1" applyAlignment="1">
      <alignment horizontal="right" vertical="center"/>
    </xf>
    <xf numFmtId="0" fontId="0" fillId="2" borderId="3" xfId="1" applyFont="1" applyFill="1" applyBorder="1" applyAlignment="1">
      <alignment horizontal="right" vertical="center"/>
    </xf>
    <xf numFmtId="0" fontId="2" fillId="2" borderId="7" xfId="1" applyFont="1" applyFill="1" applyBorder="1" applyAlignment="1">
      <alignment horizontal="right" vertical="center"/>
    </xf>
    <xf numFmtId="0" fontId="6" fillId="27" borderId="3" xfId="10" applyFont="1" applyFill="1" applyBorder="1" applyAlignment="1">
      <alignment horizontal="right" vertical="center"/>
    </xf>
    <xf numFmtId="0" fontId="6" fillId="27" borderId="23" xfId="10" applyFont="1" applyFill="1" applyBorder="1" applyAlignment="1">
      <alignment horizontal="right" vertical="center"/>
    </xf>
    <xf numFmtId="0" fontId="0" fillId="0" borderId="3" xfId="1" applyFont="1" applyBorder="1" applyAlignment="1">
      <alignment horizontal="left" vertical="center"/>
    </xf>
    <xf numFmtId="0" fontId="2" fillId="0" borderId="7" xfId="1" applyFont="1" applyBorder="1" applyAlignment="1">
      <alignment horizontal="left" vertical="center"/>
    </xf>
    <xf numFmtId="0" fontId="2" fillId="0" borderId="4" xfId="1" applyFont="1" applyBorder="1" applyAlignment="1">
      <alignment horizontal="left" vertical="center"/>
    </xf>
    <xf numFmtId="0" fontId="6" fillId="2" borderId="23" xfId="10" applyFont="1" applyFill="1" applyBorder="1" applyAlignment="1">
      <alignment horizontal="right" vertical="center"/>
    </xf>
    <xf numFmtId="0" fontId="28" fillId="0" borderId="22" xfId="0" applyFont="1" applyBorder="1" applyAlignment="1">
      <alignment horizontal="left"/>
    </xf>
    <xf numFmtId="0" fontId="6" fillId="2" borderId="2" xfId="1" applyFont="1" applyFill="1" applyBorder="1" applyAlignment="1">
      <alignment horizontal="right" vertical="center"/>
    </xf>
    <xf numFmtId="0" fontId="6" fillId="2" borderId="2" xfId="10" applyFont="1" applyFill="1" applyBorder="1" applyAlignment="1">
      <alignment horizontal="right" vertical="center"/>
    </xf>
    <xf numFmtId="0" fontId="2" fillId="2" borderId="2" xfId="1" applyFont="1" applyFill="1" applyBorder="1" applyAlignment="1">
      <alignment horizontal="right" vertical="center"/>
    </xf>
    <xf numFmtId="0" fontId="2" fillId="2" borderId="3" xfId="1" applyFont="1" applyFill="1" applyBorder="1" applyAlignment="1">
      <alignment horizontal="right" vertical="center"/>
    </xf>
    <xf numFmtId="0" fontId="10" fillId="2" borderId="3"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4" xfId="1" applyFont="1" applyFill="1" applyBorder="1" applyAlignment="1">
      <alignment horizontal="center" vertical="center"/>
    </xf>
    <xf numFmtId="0" fontId="6" fillId="2" borderId="7" xfId="10" applyFont="1" applyFill="1" applyBorder="1" applyAlignment="1">
      <alignment horizontal="right" vertical="center"/>
    </xf>
    <xf numFmtId="0" fontId="0" fillId="27" borderId="3" xfId="10" applyFont="1" applyFill="1" applyBorder="1" applyAlignment="1">
      <alignment horizontal="left" vertical="center"/>
    </xf>
    <xf numFmtId="0" fontId="0" fillId="27" borderId="7" xfId="10" applyFont="1" applyFill="1" applyBorder="1" applyAlignment="1">
      <alignment horizontal="left" vertical="center"/>
    </xf>
    <xf numFmtId="0" fontId="0" fillId="27" borderId="4" xfId="10" applyFont="1" applyFill="1" applyBorder="1" applyAlignment="1">
      <alignment horizontal="left" vertical="center"/>
    </xf>
    <xf numFmtId="0" fontId="0" fillId="2" borderId="0" xfId="1" applyFont="1" applyFill="1" applyAlignment="1">
      <alignment horizontal="left" vertical="center"/>
    </xf>
    <xf numFmtId="0" fontId="2" fillId="2" borderId="0" xfId="1" applyFont="1" applyFill="1" applyAlignment="1">
      <alignment horizontal="left" vertical="center"/>
    </xf>
    <xf numFmtId="0" fontId="0" fillId="0" borderId="2"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left" vertical="center"/>
    </xf>
    <xf numFmtId="0" fontId="0" fillId="0" borderId="2" xfId="1" applyFont="1" applyBorder="1" applyAlignment="1">
      <alignment horizontal="left" vertical="center"/>
    </xf>
    <xf numFmtId="0" fontId="0" fillId="2" borderId="2" xfId="1" applyFont="1" applyFill="1" applyBorder="1" applyAlignment="1">
      <alignment horizontal="left" vertical="center"/>
    </xf>
    <xf numFmtId="0" fontId="2" fillId="2" borderId="2" xfId="1" applyFont="1" applyFill="1" applyBorder="1" applyAlignment="1">
      <alignment horizontal="left" vertical="center"/>
    </xf>
    <xf numFmtId="0" fontId="2" fillId="0" borderId="2" xfId="10" applyBorder="1" applyAlignment="1">
      <alignment horizontal="left" vertical="center"/>
    </xf>
    <xf numFmtId="0" fontId="0" fillId="0" borderId="3" xfId="0" applyBorder="1" applyAlignment="1">
      <alignment horizontal="center"/>
    </xf>
    <xf numFmtId="0" fontId="0" fillId="0" borderId="4" xfId="0" applyBorder="1" applyAlignment="1">
      <alignment horizontal="center"/>
    </xf>
    <xf numFmtId="0" fontId="30" fillId="0" borderId="2" xfId="0" applyFont="1" applyBorder="1" applyAlignment="1">
      <alignment horizontal="left"/>
    </xf>
    <xf numFmtId="0" fontId="28" fillId="0" borderId="2" xfId="0" applyFont="1" applyBorder="1" applyAlignment="1">
      <alignment horizontal="left"/>
    </xf>
    <xf numFmtId="168" fontId="0" fillId="6" borderId="19" xfId="0" applyNumberFormat="1" applyFill="1" applyBorder="1" applyAlignment="1" applyProtection="1">
      <alignment horizontal="center" vertical="center"/>
      <protection locked="0"/>
    </xf>
    <xf numFmtId="168" fontId="0" fillId="6" borderId="20" xfId="0" applyNumberFormat="1" applyFill="1" applyBorder="1" applyAlignment="1" applyProtection="1">
      <alignment horizontal="center" vertical="center"/>
      <protection locked="0"/>
    </xf>
    <xf numFmtId="0" fontId="0" fillId="2" borderId="2" xfId="1" applyFont="1" applyFill="1" applyBorder="1" applyAlignment="1">
      <alignment vertical="center"/>
    </xf>
    <xf numFmtId="0" fontId="2" fillId="2" borderId="2" xfId="1" applyFont="1" applyFill="1" applyBorder="1" applyAlignment="1">
      <alignment vertical="center"/>
    </xf>
    <xf numFmtId="0" fontId="10" fillId="0" borderId="3" xfId="10" applyFont="1" applyBorder="1" applyAlignment="1">
      <alignment horizontal="center" vertical="center"/>
    </xf>
    <xf numFmtId="0" fontId="10" fillId="0" borderId="7" xfId="10" applyFont="1" applyBorder="1" applyAlignment="1">
      <alignment horizontal="center" vertical="center"/>
    </xf>
    <xf numFmtId="0" fontId="10" fillId="0" borderId="4" xfId="10" applyFont="1" applyBorder="1" applyAlignment="1">
      <alignment horizontal="center" vertical="center"/>
    </xf>
    <xf numFmtId="0" fontId="0" fillId="0" borderId="2" xfId="0" applyBorder="1" applyAlignment="1">
      <alignment horizontal="center" wrapText="1"/>
    </xf>
    <xf numFmtId="168" fontId="0" fillId="0" borderId="5" xfId="0" applyNumberFormat="1" applyBorder="1" applyAlignment="1">
      <alignment horizontal="center"/>
    </xf>
    <xf numFmtId="168" fontId="0" fillId="0" borderId="18" xfId="0" applyNumberFormat="1" applyBorder="1" applyAlignment="1">
      <alignment horizontal="center"/>
    </xf>
    <xf numFmtId="0" fontId="0" fillId="2" borderId="2" xfId="10" applyFont="1" applyFill="1" applyBorder="1" applyAlignment="1">
      <alignment vertical="center"/>
    </xf>
    <xf numFmtId="0" fontId="2" fillId="2" borderId="2" xfId="10" applyFill="1" applyBorder="1" applyAlignment="1">
      <alignment vertical="center"/>
    </xf>
    <xf numFmtId="0" fontId="0" fillId="0" borderId="21" xfId="0" applyBorder="1" applyAlignment="1">
      <alignment horizontal="center" wrapText="1"/>
    </xf>
    <xf numFmtId="0" fontId="0" fillId="0" borderId="11" xfId="0" applyBorder="1" applyAlignment="1">
      <alignment horizontal="center" wrapText="1"/>
    </xf>
    <xf numFmtId="0" fontId="0" fillId="0" borderId="9" xfId="0" applyBorder="1" applyAlignment="1">
      <alignment horizontal="center" wrapText="1"/>
    </xf>
    <xf numFmtId="0" fontId="0" fillId="0" borderId="22" xfId="0" applyBorder="1" applyAlignment="1">
      <alignment horizontal="center" wrapText="1"/>
    </xf>
    <xf numFmtId="0" fontId="6" fillId="2" borderId="25" xfId="10" applyFont="1" applyFill="1" applyBorder="1" applyAlignment="1">
      <alignment horizontal="center" vertical="center"/>
    </xf>
    <xf numFmtId="0" fontId="6" fillId="2" borderId="0" xfId="10" applyFont="1" applyFill="1" applyAlignment="1">
      <alignment horizontal="center" vertical="center"/>
    </xf>
    <xf numFmtId="0" fontId="6" fillId="2" borderId="13" xfId="10" applyFont="1" applyFill="1" applyBorder="1" applyAlignment="1">
      <alignment horizontal="center" vertical="center"/>
    </xf>
    <xf numFmtId="0" fontId="6" fillId="2" borderId="25" xfId="1" applyFont="1" applyFill="1" applyBorder="1" applyAlignment="1">
      <alignment horizontal="center" vertical="center"/>
    </xf>
    <xf numFmtId="0" fontId="6" fillId="2" borderId="0" xfId="1" applyFont="1" applyFill="1" applyAlignment="1">
      <alignment horizontal="center" vertical="center"/>
    </xf>
    <xf numFmtId="0" fontId="6" fillId="2" borderId="13" xfId="1" applyFont="1" applyFill="1" applyBorder="1" applyAlignment="1">
      <alignment horizontal="center" vertical="center"/>
    </xf>
    <xf numFmtId="0" fontId="28" fillId="2" borderId="2" xfId="1" applyFont="1" applyFill="1" applyBorder="1" applyAlignment="1">
      <alignment horizontal="center" vertical="center"/>
    </xf>
    <xf numFmtId="0" fontId="29" fillId="2" borderId="2" xfId="1" applyFont="1" applyFill="1" applyBorder="1" applyAlignment="1">
      <alignment horizontal="center" vertical="center"/>
    </xf>
    <xf numFmtId="0" fontId="21" fillId="0" borderId="0" xfId="1" applyFont="1" applyAlignment="1">
      <alignment horizontal="left" vertical="center" wrapText="1"/>
    </xf>
    <xf numFmtId="0" fontId="0" fillId="0" borderId="2" xfId="0" applyBorder="1" applyAlignment="1">
      <alignment horizontal="center" vertical="center" wrapText="1"/>
    </xf>
    <xf numFmtId="0" fontId="28" fillId="0" borderId="22" xfId="0" applyFont="1" applyBorder="1" applyAlignment="1">
      <alignment horizontal="left" vertical="center"/>
    </xf>
    <xf numFmtId="0" fontId="0" fillId="0" borderId="32" xfId="0" applyBorder="1" applyAlignment="1">
      <alignment horizontal="left" vertical="top" wrapText="1"/>
    </xf>
    <xf numFmtId="0" fontId="0" fillId="0" borderId="0" xfId="0" applyAlignment="1">
      <alignment horizontal="left" vertical="top" wrapText="1"/>
    </xf>
    <xf numFmtId="0" fontId="3" fillId="0" borderId="32" xfId="0" applyFont="1" applyBorder="1" applyAlignment="1">
      <alignment horizontal="left" vertical="top" wrapText="1"/>
    </xf>
    <xf numFmtId="0" fontId="3" fillId="0" borderId="0" xfId="0" applyFont="1" applyAlignment="1">
      <alignment horizontal="left" vertical="top" wrapText="1"/>
    </xf>
    <xf numFmtId="0" fontId="10" fillId="2" borderId="3" xfId="1" applyFont="1" applyFill="1" applyBorder="1" applyAlignment="1">
      <alignment horizontal="left" vertical="center"/>
    </xf>
    <xf numFmtId="0" fontId="10" fillId="2" borderId="7" xfId="1" applyFont="1" applyFill="1" applyBorder="1" applyAlignment="1">
      <alignment horizontal="left" vertical="center"/>
    </xf>
    <xf numFmtId="0" fontId="3" fillId="0" borderId="25" xfId="0" applyFont="1" applyBorder="1" applyAlignment="1">
      <alignment horizontal="center"/>
    </xf>
    <xf numFmtId="0" fontId="3" fillId="0" borderId="0" xfId="0" applyFont="1" applyAlignment="1">
      <alignment horizontal="center"/>
    </xf>
    <xf numFmtId="0" fontId="0" fillId="0" borderId="25" xfId="0" applyBorder="1" applyAlignment="1">
      <alignment horizontal="center"/>
    </xf>
    <xf numFmtId="0" fontId="0" fillId="0" borderId="0" xfId="0" applyAlignment="1">
      <alignment horizontal="center"/>
    </xf>
    <xf numFmtId="0" fontId="0" fillId="0" borderId="3" xfId="18" applyFont="1" applyBorder="1" applyAlignment="1">
      <alignment horizontal="center"/>
    </xf>
    <xf numFmtId="0" fontId="2" fillId="0" borderId="4" xfId="18" applyBorder="1" applyAlignment="1">
      <alignment horizontal="center"/>
    </xf>
    <xf numFmtId="0" fontId="0" fillId="0" borderId="3" xfId="18" applyFont="1" applyBorder="1" applyAlignment="1">
      <alignment horizontal="center" wrapText="1"/>
    </xf>
    <xf numFmtId="0" fontId="0" fillId="0" borderId="4" xfId="18" applyFont="1" applyBorder="1" applyAlignment="1">
      <alignment horizontal="center" wrapText="1"/>
    </xf>
    <xf numFmtId="0" fontId="2" fillId="0" borderId="3" xfId="18" applyBorder="1" applyAlignment="1">
      <alignment horizontal="center"/>
    </xf>
    <xf numFmtId="0" fontId="6" fillId="2" borderId="21"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5" xfId="1" applyFont="1" applyFill="1" applyBorder="1" applyAlignment="1">
      <alignment horizontal="center" vertical="center"/>
    </xf>
    <xf numFmtId="0" fontId="28" fillId="0" borderId="0" xfId="0" applyFont="1" applyAlignment="1">
      <alignment horizontal="center"/>
    </xf>
    <xf numFmtId="0" fontId="10" fillId="18" borderId="3" xfId="0" applyFont="1" applyFill="1" applyBorder="1" applyAlignment="1">
      <alignment horizontal="center" vertical="center"/>
    </xf>
    <xf numFmtId="0" fontId="10" fillId="18" borderId="4" xfId="0" applyFont="1" applyFill="1" applyBorder="1" applyAlignment="1">
      <alignment horizontal="center" vertical="center"/>
    </xf>
    <xf numFmtId="0" fontId="21" fillId="2" borderId="3" xfId="1" applyFont="1" applyFill="1" applyBorder="1" applyAlignment="1" applyProtection="1">
      <alignment horizontal="left" vertical="center"/>
      <protection locked="0"/>
    </xf>
    <xf numFmtId="0" fontId="21" fillId="2" borderId="7" xfId="1" applyFont="1" applyFill="1" applyBorder="1" applyAlignment="1" applyProtection="1">
      <alignment horizontal="left" vertical="center"/>
      <protection locked="0"/>
    </xf>
    <xf numFmtId="0" fontId="21" fillId="2" borderId="4" xfId="1" applyFont="1" applyFill="1" applyBorder="1" applyAlignment="1" applyProtection="1">
      <alignment horizontal="left" vertical="center"/>
      <protection locked="0"/>
    </xf>
    <xf numFmtId="3" fontId="21" fillId="2" borderId="3" xfId="0" applyNumberFormat="1" applyFont="1" applyFill="1" applyBorder="1" applyAlignment="1">
      <alignment horizontal="center"/>
    </xf>
    <xf numFmtId="3" fontId="21" fillId="2" borderId="4" xfId="0" applyNumberFormat="1" applyFont="1" applyFill="1" applyBorder="1" applyAlignment="1">
      <alignment horizontal="center"/>
    </xf>
    <xf numFmtId="172" fontId="21" fillId="2" borderId="3" xfId="2" applyNumberFormat="1" applyFont="1" applyFill="1" applyBorder="1" applyAlignment="1" applyProtection="1">
      <alignment horizontal="left" vertical="center"/>
      <protection locked="0"/>
    </xf>
    <xf numFmtId="172" fontId="21" fillId="2" borderId="7" xfId="2" applyNumberFormat="1" applyFont="1" applyFill="1" applyBorder="1" applyAlignment="1" applyProtection="1">
      <alignment horizontal="left" vertical="center"/>
      <protection locked="0"/>
    </xf>
    <xf numFmtId="172" fontId="21" fillId="2" borderId="4" xfId="2" applyNumberFormat="1" applyFont="1" applyFill="1" applyBorder="1" applyAlignment="1" applyProtection="1">
      <alignment horizontal="left" vertical="center"/>
      <protection locked="0"/>
    </xf>
    <xf numFmtId="0" fontId="21" fillId="0" borderId="2" xfId="0" applyFont="1" applyBorder="1" applyAlignment="1">
      <alignment horizontal="center"/>
    </xf>
    <xf numFmtId="172" fontId="10" fillId="18" borderId="3" xfId="2" applyNumberFormat="1" applyFont="1" applyFill="1" applyBorder="1" applyAlignment="1" applyProtection="1">
      <alignment horizontal="center" vertical="center"/>
      <protection locked="0"/>
    </xf>
    <xf numFmtId="172" fontId="10" fillId="18" borderId="7" xfId="2" applyNumberFormat="1" applyFont="1" applyFill="1" applyBorder="1" applyAlignment="1" applyProtection="1">
      <alignment horizontal="center" vertical="center"/>
      <protection locked="0"/>
    </xf>
    <xf numFmtId="172" fontId="10" fillId="18" borderId="4" xfId="2" applyNumberFormat="1" applyFont="1" applyFill="1" applyBorder="1" applyAlignment="1" applyProtection="1">
      <alignment horizontal="center" vertical="center"/>
      <protection locked="0"/>
    </xf>
    <xf numFmtId="5" fontId="21" fillId="2" borderId="3" xfId="0" applyNumberFormat="1" applyFont="1" applyFill="1" applyBorder="1" applyAlignment="1">
      <alignment horizontal="center"/>
    </xf>
    <xf numFmtId="5" fontId="21" fillId="2" borderId="4" xfId="0" applyNumberFormat="1" applyFont="1" applyFill="1" applyBorder="1" applyAlignment="1">
      <alignment horizontal="center"/>
    </xf>
    <xf numFmtId="0" fontId="21" fillId="0" borderId="2" xfId="18" applyFont="1" applyBorder="1" applyAlignment="1">
      <alignment horizontal="left"/>
    </xf>
    <xf numFmtId="5" fontId="21" fillId="0" borderId="2" xfId="0" applyNumberFormat="1" applyFont="1" applyBorder="1" applyAlignment="1">
      <alignment horizontal="center"/>
    </xf>
    <xf numFmtId="0" fontId="23" fillId="0" borderId="0" xfId="0" applyFont="1" applyAlignment="1">
      <alignment horizontal="left" wrapText="1"/>
    </xf>
    <xf numFmtId="0" fontId="10" fillId="18" borderId="2" xfId="0" applyFont="1" applyFill="1" applyBorder="1" applyAlignment="1">
      <alignment horizontal="center" vertical="center" wrapText="1"/>
    </xf>
    <xf numFmtId="0" fontId="10" fillId="18" borderId="2" xfId="0" applyFont="1" applyFill="1" applyBorder="1" applyAlignment="1">
      <alignment horizontal="center" vertical="center"/>
    </xf>
    <xf numFmtId="0" fontId="12" fillId="0" borderId="0" xfId="0" applyFont="1" applyAlignment="1">
      <alignment horizontal="left" wrapText="1"/>
    </xf>
    <xf numFmtId="168" fontId="10" fillId="0" borderId="2" xfId="0" applyNumberFormat="1" applyFont="1" applyBorder="1" applyAlignment="1">
      <alignment horizontal="center"/>
    </xf>
    <xf numFmtId="2" fontId="21" fillId="2" borderId="3" xfId="0" applyNumberFormat="1" applyFont="1" applyFill="1" applyBorder="1" applyAlignment="1">
      <alignment horizontal="center"/>
    </xf>
    <xf numFmtId="2" fontId="21" fillId="2" borderId="4" xfId="0" applyNumberFormat="1" applyFont="1" applyFill="1" applyBorder="1" applyAlignment="1">
      <alignment horizontal="center"/>
    </xf>
    <xf numFmtId="0" fontId="21" fillId="0" borderId="2" xfId="18" applyFont="1" applyBorder="1" applyAlignment="1">
      <alignment horizontal="left" wrapText="1"/>
    </xf>
    <xf numFmtId="0" fontId="10" fillId="25" borderId="3" xfId="0" applyFont="1" applyFill="1" applyBorder="1" applyAlignment="1">
      <alignment horizontal="center" vertical="center"/>
    </xf>
    <xf numFmtId="0" fontId="10" fillId="25" borderId="7" xfId="0" applyFont="1" applyFill="1" applyBorder="1" applyAlignment="1">
      <alignment horizontal="center" vertical="center"/>
    </xf>
    <xf numFmtId="0" fontId="10" fillId="25" borderId="4" xfId="0" applyFont="1" applyFill="1" applyBorder="1" applyAlignment="1">
      <alignment horizontal="center" vertical="center"/>
    </xf>
    <xf numFmtId="1" fontId="0" fillId="0" borderId="11" xfId="0" applyNumberFormat="1" applyBorder="1" applyAlignment="1">
      <alignment horizontal="center"/>
    </xf>
    <xf numFmtId="0" fontId="0" fillId="0" borderId="11" xfId="0" applyBorder="1" applyAlignment="1">
      <alignment horizontal="center"/>
    </xf>
    <xf numFmtId="0" fontId="24" fillId="0" borderId="0" xfId="0" applyFont="1" applyAlignment="1">
      <alignment horizontal="center"/>
    </xf>
    <xf numFmtId="0" fontId="21" fillId="2" borderId="3" xfId="0" applyFont="1" applyFill="1" applyBorder="1" applyAlignment="1">
      <alignment horizontal="left"/>
    </xf>
    <xf numFmtId="0" fontId="21" fillId="2" borderId="7" xfId="0" applyFont="1" applyFill="1" applyBorder="1" applyAlignment="1">
      <alignment horizontal="left"/>
    </xf>
    <xf numFmtId="0" fontId="21" fillId="2" borderId="4" xfId="0" applyFont="1" applyFill="1" applyBorder="1" applyAlignment="1">
      <alignment horizontal="left"/>
    </xf>
    <xf numFmtId="5" fontId="10" fillId="0" borderId="3" xfId="0" applyNumberFormat="1" applyFont="1" applyBorder="1" applyAlignment="1">
      <alignment horizontal="center"/>
    </xf>
    <xf numFmtId="0" fontId="10" fillId="18" borderId="21" xfId="0" applyFont="1" applyFill="1" applyBorder="1" applyAlignment="1">
      <alignment horizontal="right" vertical="center" wrapText="1"/>
    </xf>
    <xf numFmtId="0" fontId="10" fillId="18" borderId="5" xfId="0" applyFont="1" applyFill="1" applyBorder="1" applyAlignment="1">
      <alignment horizontal="right" vertical="center" wrapText="1"/>
    </xf>
    <xf numFmtId="0" fontId="10" fillId="18" borderId="9" xfId="0" applyFont="1" applyFill="1" applyBorder="1" applyAlignment="1">
      <alignment horizontal="right" vertical="center" wrapText="1"/>
    </xf>
    <xf numFmtId="0" fontId="10" fillId="18" borderId="18" xfId="0" applyFont="1" applyFill="1" applyBorder="1" applyAlignment="1">
      <alignment horizontal="right" vertical="center" wrapText="1"/>
    </xf>
    <xf numFmtId="0" fontId="46" fillId="2" borderId="0" xfId="0" applyFont="1" applyFill="1" applyAlignment="1">
      <alignment horizontal="left" vertical="center" wrapText="1"/>
    </xf>
    <xf numFmtId="0" fontId="46" fillId="2" borderId="0" xfId="0" applyFont="1" applyFill="1" applyAlignment="1">
      <alignment horizontal="left" wrapText="1"/>
    </xf>
    <xf numFmtId="0" fontId="20" fillId="28" borderId="0" xfId="0" applyFont="1" applyFill="1" applyAlignment="1">
      <alignment horizontal="left" vertical="center"/>
    </xf>
    <xf numFmtId="0" fontId="46" fillId="2" borderId="0" xfId="0" applyFont="1" applyFill="1" applyAlignment="1">
      <alignment horizontal="left" vertical="top" wrapText="1"/>
    </xf>
    <xf numFmtId="0" fontId="42" fillId="2" borderId="0" xfId="0" applyFont="1" applyFill="1" applyAlignment="1">
      <alignment horizontal="left" vertical="top"/>
    </xf>
    <xf numFmtId="0" fontId="20" fillId="28" borderId="0" xfId="0" applyFont="1" applyFill="1" applyAlignment="1">
      <alignment horizontal="left" vertical="top"/>
    </xf>
    <xf numFmtId="0" fontId="46" fillId="0" borderId="0" xfId="0" applyFont="1" applyAlignment="1">
      <alignment horizontal="left" vertical="center" wrapText="1"/>
    </xf>
    <xf numFmtId="0" fontId="42" fillId="2" borderId="0" xfId="0" applyFont="1" applyFill="1" applyAlignment="1">
      <alignment horizontal="left" vertical="top" wrapText="1"/>
    </xf>
    <xf numFmtId="0" fontId="20" fillId="28" borderId="0" xfId="0" applyFont="1" applyFill="1" applyAlignment="1">
      <alignment horizontal="left" vertical="center" wrapText="1"/>
    </xf>
    <xf numFmtId="0" fontId="20" fillId="0" borderId="0" xfId="0" applyFont="1" applyAlignment="1">
      <alignment horizontal="left" wrapText="1"/>
    </xf>
    <xf numFmtId="0" fontId="42" fillId="0" borderId="0" xfId="0" applyFont="1" applyAlignment="1">
      <alignment horizontal="left" vertical="center" wrapText="1"/>
    </xf>
    <xf numFmtId="0" fontId="42" fillId="0" borderId="0" xfId="0" applyFont="1" applyAlignment="1">
      <alignment horizontal="left" vertical="top" wrapText="1"/>
    </xf>
    <xf numFmtId="0" fontId="46" fillId="0" borderId="0" xfId="0" applyFont="1" applyAlignment="1">
      <alignment horizontal="left" vertical="top" wrapText="1"/>
    </xf>
    <xf numFmtId="0" fontId="46" fillId="0" borderId="0" xfId="0" applyFont="1" applyAlignment="1">
      <alignment horizontal="left" vertical="top"/>
    </xf>
    <xf numFmtId="0" fontId="2" fillId="2" borderId="3" xfId="1" applyFont="1" applyFill="1" applyBorder="1" applyAlignment="1">
      <alignment horizontal="left" vertical="center"/>
    </xf>
    <xf numFmtId="0" fontId="2" fillId="2" borderId="7" xfId="1" applyFont="1" applyFill="1" applyBorder="1" applyAlignment="1">
      <alignment horizontal="left" vertical="center"/>
    </xf>
    <xf numFmtId="0" fontId="2" fillId="2" borderId="4" xfId="1" applyFont="1" applyFill="1" applyBorder="1" applyAlignment="1">
      <alignment horizontal="left" vertical="center"/>
    </xf>
    <xf numFmtId="0" fontId="0" fillId="4" borderId="3" xfId="1" applyFont="1" applyFill="1" applyBorder="1" applyAlignment="1">
      <alignment horizontal="left" vertical="center"/>
    </xf>
    <xf numFmtId="0" fontId="0" fillId="4" borderId="7" xfId="1" applyFont="1" applyFill="1" applyBorder="1" applyAlignment="1">
      <alignment horizontal="left" vertical="center"/>
    </xf>
    <xf numFmtId="0" fontId="0" fillId="4" borderId="4" xfId="1" applyFont="1" applyFill="1" applyBorder="1" applyAlignment="1">
      <alignment horizontal="left" vertical="center"/>
    </xf>
    <xf numFmtId="0" fontId="2" fillId="4" borderId="3" xfId="1" applyFont="1" applyFill="1" applyBorder="1" applyAlignment="1">
      <alignment horizontal="left" vertical="center"/>
    </xf>
    <xf numFmtId="0" fontId="2" fillId="4" borderId="7" xfId="1" applyFont="1" applyFill="1" applyBorder="1" applyAlignment="1">
      <alignment horizontal="left" vertical="center"/>
    </xf>
    <xf numFmtId="0" fontId="2" fillId="4" borderId="4" xfId="1" applyFont="1" applyFill="1" applyBorder="1" applyAlignment="1">
      <alignment horizontal="left" vertical="center"/>
    </xf>
    <xf numFmtId="0" fontId="0" fillId="2" borderId="3" xfId="1" applyFont="1" applyFill="1" applyBorder="1" applyAlignment="1">
      <alignment horizontal="left" vertical="center"/>
    </xf>
    <xf numFmtId="0" fontId="0" fillId="2" borderId="7" xfId="1" applyFont="1" applyFill="1" applyBorder="1" applyAlignment="1">
      <alignment horizontal="left" vertical="center"/>
    </xf>
    <xf numFmtId="0" fontId="0" fillId="2" borderId="4" xfId="1" applyFont="1" applyFill="1" applyBorder="1" applyAlignment="1">
      <alignment horizontal="left" vertical="center"/>
    </xf>
    <xf numFmtId="0" fontId="3" fillId="2" borderId="3" xfId="1" applyFont="1" applyFill="1" applyBorder="1" applyAlignment="1">
      <alignment horizontal="left" vertical="center"/>
    </xf>
    <xf numFmtId="0" fontId="3" fillId="2" borderId="7" xfId="1" applyFont="1" applyFill="1" applyBorder="1" applyAlignment="1">
      <alignment horizontal="left" vertical="center"/>
    </xf>
    <xf numFmtId="0" fontId="3" fillId="2" borderId="4" xfId="1" applyFont="1" applyFill="1" applyBorder="1" applyAlignment="1">
      <alignment horizontal="left" vertical="center"/>
    </xf>
    <xf numFmtId="0" fontId="0" fillId="0" borderId="7" xfId="18" applyFont="1" applyBorder="1" applyAlignment="1">
      <alignment horizontal="center"/>
    </xf>
    <xf numFmtId="0" fontId="0" fillId="0" borderId="4" xfId="18" applyFont="1" applyBorder="1" applyAlignment="1">
      <alignment horizontal="center"/>
    </xf>
    <xf numFmtId="0" fontId="12" fillId="0" borderId="3" xfId="0" applyFont="1" applyBorder="1" applyAlignment="1">
      <alignment horizontal="left"/>
    </xf>
    <xf numFmtId="0" fontId="12" fillId="0" borderId="7" xfId="0" applyFont="1" applyBorder="1" applyAlignment="1">
      <alignment horizontal="left"/>
    </xf>
    <xf numFmtId="0" fontId="12" fillId="0" borderId="4" xfId="0" applyFont="1" applyBorder="1" applyAlignment="1">
      <alignment horizontal="left"/>
    </xf>
    <xf numFmtId="0" fontId="0" fillId="22" borderId="3" xfId="0" applyFill="1" applyBorder="1" applyAlignment="1">
      <alignment horizontal="center" wrapText="1"/>
    </xf>
    <xf numFmtId="0" fontId="0" fillId="22" borderId="7" xfId="0" applyFill="1" applyBorder="1" applyAlignment="1">
      <alignment horizontal="center" wrapText="1"/>
    </xf>
    <xf numFmtId="0" fontId="0" fillId="22" borderId="4" xfId="0" applyFill="1" applyBorder="1" applyAlignment="1">
      <alignment horizontal="center" wrapText="1"/>
    </xf>
    <xf numFmtId="0" fontId="0" fillId="0" borderId="7" xfId="0" applyBorder="1" applyAlignment="1">
      <alignment horizontal="center"/>
    </xf>
    <xf numFmtId="0" fontId="10" fillId="0" borderId="3" xfId="0" applyFont="1" applyBorder="1" applyAlignment="1">
      <alignment horizontal="left"/>
    </xf>
    <xf numFmtId="0" fontId="10" fillId="0" borderId="7" xfId="0" applyFont="1" applyBorder="1" applyAlignment="1">
      <alignment horizontal="left"/>
    </xf>
    <xf numFmtId="0" fontId="10" fillId="0" borderId="4" xfId="0" applyFont="1" applyBorder="1" applyAlignment="1">
      <alignment horizontal="left"/>
    </xf>
    <xf numFmtId="0" fontId="0" fillId="0" borderId="3" xfId="0"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wrapText="1"/>
    </xf>
    <xf numFmtId="0" fontId="0" fillId="0" borderId="3" xfId="18" applyFont="1" applyBorder="1" applyAlignment="1">
      <alignment horizontal="right"/>
    </xf>
    <xf numFmtId="0" fontId="0" fillId="0" borderId="4" xfId="18" applyFont="1" applyBorder="1" applyAlignment="1">
      <alignment horizontal="right"/>
    </xf>
    <xf numFmtId="0" fontId="10" fillId="0" borderId="3" xfId="0" applyFont="1" applyBorder="1" applyAlignment="1">
      <alignment horizontal="right"/>
    </xf>
    <xf numFmtId="0" fontId="10" fillId="0" borderId="7" xfId="0" applyFont="1" applyBorder="1" applyAlignment="1">
      <alignment horizontal="right"/>
    </xf>
    <xf numFmtId="0" fontId="10" fillId="0" borderId="4" xfId="0" applyFont="1" applyBorder="1" applyAlignment="1">
      <alignment horizontal="right"/>
    </xf>
    <xf numFmtId="0" fontId="10" fillId="0" borderId="7" xfId="0" applyFont="1" applyBorder="1" applyAlignment="1">
      <alignment horizontal="center"/>
    </xf>
    <xf numFmtId="0" fontId="0" fillId="0" borderId="7" xfId="18" applyFont="1" applyBorder="1" applyAlignment="1">
      <alignment horizontal="center" wrapText="1"/>
    </xf>
    <xf numFmtId="0" fontId="0" fillId="0" borderId="3" xfId="0" applyBorder="1" applyAlignment="1">
      <alignment horizontal="left"/>
    </xf>
    <xf numFmtId="0" fontId="0" fillId="0" borderId="7" xfId="0" applyBorder="1" applyAlignment="1">
      <alignment horizontal="left"/>
    </xf>
    <xf numFmtId="0" fontId="0" fillId="0" borderId="4" xfId="0" applyBorder="1" applyAlignment="1">
      <alignment horizontal="left"/>
    </xf>
    <xf numFmtId="0" fontId="0" fillId="6" borderId="3" xfId="0" applyFill="1" applyBorder="1" applyAlignment="1">
      <alignment horizontal="left"/>
    </xf>
    <xf numFmtId="0" fontId="0" fillId="6" borderId="7" xfId="0" applyFill="1" applyBorder="1" applyAlignment="1">
      <alignment horizontal="left"/>
    </xf>
    <xf numFmtId="0" fontId="0" fillId="6" borderId="4" xfId="0" applyFill="1" applyBorder="1" applyAlignment="1">
      <alignment horizontal="left"/>
    </xf>
    <xf numFmtId="0" fontId="12" fillId="0" borderId="2" xfId="0" applyFont="1" applyBorder="1" applyAlignment="1">
      <alignment horizontal="center" vertical="center"/>
    </xf>
    <xf numFmtId="0" fontId="0" fillId="4" borderId="3" xfId="0" applyFill="1" applyBorder="1" applyAlignment="1">
      <alignment horizontal="left"/>
    </xf>
    <xf numFmtId="0" fontId="0" fillId="4" borderId="7" xfId="0" applyFill="1" applyBorder="1" applyAlignment="1">
      <alignment horizontal="left"/>
    </xf>
    <xf numFmtId="0" fontId="0" fillId="4" borderId="4" xfId="0" applyFill="1" applyBorder="1" applyAlignment="1">
      <alignment horizontal="left"/>
    </xf>
    <xf numFmtId="0" fontId="0" fillId="22" borderId="3" xfId="0" applyFill="1" applyBorder="1" applyAlignment="1">
      <alignment horizontal="center"/>
    </xf>
    <xf numFmtId="0" fontId="0" fillId="22" borderId="7" xfId="0" applyFill="1" applyBorder="1" applyAlignment="1">
      <alignment horizontal="center"/>
    </xf>
    <xf numFmtId="0" fontId="0" fillId="22" borderId="4" xfId="0" applyFill="1" applyBorder="1" applyAlignment="1">
      <alignment horizontal="center"/>
    </xf>
    <xf numFmtId="0" fontId="21" fillId="22" borderId="3" xfId="0" applyFont="1" applyFill="1" applyBorder="1" applyAlignment="1">
      <alignment horizontal="center"/>
    </xf>
    <xf numFmtId="0" fontId="21" fillId="22" borderId="7" xfId="0" applyFont="1" applyFill="1" applyBorder="1" applyAlignment="1">
      <alignment horizontal="center"/>
    </xf>
    <xf numFmtId="0" fontId="21" fillId="22" borderId="4" xfId="0" applyFont="1" applyFill="1" applyBorder="1" applyAlignment="1">
      <alignment horizontal="center"/>
    </xf>
    <xf numFmtId="0" fontId="21" fillId="0" borderId="3" xfId="0" applyFont="1" applyBorder="1" applyAlignment="1">
      <alignment horizontal="center"/>
    </xf>
    <xf numFmtId="0" fontId="21" fillId="0" borderId="7" xfId="0" applyFont="1" applyBorder="1" applyAlignment="1">
      <alignment horizontal="center"/>
    </xf>
    <xf numFmtId="0" fontId="21" fillId="0" borderId="4" xfId="0" applyFont="1" applyBorder="1" applyAlignment="1">
      <alignment horizontal="center"/>
    </xf>
    <xf numFmtId="10" fontId="0" fillId="6" borderId="3" xfId="0" applyNumberFormat="1" applyFill="1" applyBorder="1" applyAlignment="1">
      <alignment horizontal="center"/>
    </xf>
    <xf numFmtId="10" fontId="0" fillId="6" borderId="7" xfId="0" applyNumberFormat="1" applyFill="1" applyBorder="1" applyAlignment="1">
      <alignment horizontal="center"/>
    </xf>
    <xf numFmtId="10" fontId="0" fillId="6" borderId="4" xfId="0" applyNumberFormat="1" applyFill="1" applyBorder="1" applyAlignment="1">
      <alignment horizontal="center"/>
    </xf>
    <xf numFmtId="10" fontId="0" fillId="0" borderId="3" xfId="0" applyNumberFormat="1" applyBorder="1" applyAlignment="1">
      <alignment horizontal="center"/>
    </xf>
    <xf numFmtId="10" fontId="0" fillId="0" borderId="7" xfId="0" applyNumberFormat="1" applyBorder="1" applyAlignment="1">
      <alignment horizontal="center"/>
    </xf>
    <xf numFmtId="10" fontId="0" fillId="21" borderId="3" xfId="0" applyNumberFormat="1" applyFill="1" applyBorder="1" applyAlignment="1">
      <alignment horizontal="center"/>
    </xf>
    <xf numFmtId="10" fontId="0" fillId="21" borderId="4" xfId="0" applyNumberFormat="1" applyFill="1" applyBorder="1" applyAlignment="1">
      <alignment horizontal="center"/>
    </xf>
    <xf numFmtId="10" fontId="0" fillId="0" borderId="4" xfId="0" applyNumberFormat="1" applyBorder="1" applyAlignment="1">
      <alignment horizontal="center"/>
    </xf>
    <xf numFmtId="0" fontId="3" fillId="2" borderId="3"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4" xfId="1" applyFont="1" applyFill="1" applyBorder="1" applyAlignment="1">
      <alignment horizontal="center" vertical="center"/>
    </xf>
    <xf numFmtId="0" fontId="0" fillId="0" borderId="2" xfId="0" applyBorder="1" applyAlignment="1">
      <alignment horizontal="center"/>
    </xf>
    <xf numFmtId="0" fontId="0" fillId="19" borderId="2" xfId="0" applyFill="1" applyBorder="1" applyAlignment="1">
      <alignment horizontal="center" wrapText="1"/>
    </xf>
    <xf numFmtId="0" fontId="0" fillId="20" borderId="2" xfId="1" applyFont="1" applyFill="1" applyBorder="1" applyAlignment="1">
      <alignment horizontal="center" vertical="center"/>
    </xf>
    <xf numFmtId="0" fontId="2" fillId="20" borderId="2" xfId="1" applyFont="1" applyFill="1" applyBorder="1" applyAlignment="1">
      <alignment horizontal="center" vertical="center"/>
    </xf>
    <xf numFmtId="0" fontId="0" fillId="19" borderId="3" xfId="1" applyFont="1" applyFill="1" applyBorder="1" applyAlignment="1">
      <alignment horizontal="left" vertical="center"/>
    </xf>
    <xf numFmtId="0" fontId="2" fillId="19" borderId="7" xfId="1" applyFont="1" applyFill="1" applyBorder="1" applyAlignment="1">
      <alignment horizontal="left" vertical="center"/>
    </xf>
    <xf numFmtId="0" fontId="2" fillId="19" borderId="4" xfId="1" applyFont="1" applyFill="1" applyBorder="1" applyAlignment="1">
      <alignment horizontal="left" vertical="center"/>
    </xf>
    <xf numFmtId="0" fontId="0" fillId="19" borderId="2" xfId="1" applyFont="1" applyFill="1" applyBorder="1" applyAlignment="1">
      <alignment horizontal="left" vertical="center"/>
    </xf>
    <xf numFmtId="0" fontId="2" fillId="19" borderId="2" xfId="1" applyFont="1" applyFill="1" applyBorder="1" applyAlignment="1">
      <alignment horizontal="left" vertical="center"/>
    </xf>
    <xf numFmtId="0" fontId="8" fillId="15" borderId="3" xfId="1" applyFont="1" applyFill="1" applyBorder="1" applyAlignment="1">
      <alignment horizontal="center" vertical="center"/>
    </xf>
    <xf numFmtId="0" fontId="8" fillId="15" borderId="7" xfId="1" applyFont="1" applyFill="1" applyBorder="1" applyAlignment="1">
      <alignment horizontal="center" vertical="center"/>
    </xf>
    <xf numFmtId="0" fontId="2" fillId="18" borderId="2" xfId="1" applyFont="1" applyFill="1" applyBorder="1" applyAlignment="1">
      <alignment horizontal="center" vertical="center"/>
    </xf>
    <xf numFmtId="0" fontId="3" fillId="16" borderId="2" xfId="1" applyFont="1" applyFill="1" applyBorder="1" applyAlignment="1">
      <alignment horizontal="center" vertical="center"/>
    </xf>
    <xf numFmtId="0" fontId="2" fillId="19" borderId="3" xfId="1" applyFont="1" applyFill="1" applyBorder="1" applyAlignment="1">
      <alignment horizontal="left" vertical="center"/>
    </xf>
    <xf numFmtId="0" fontId="3" fillId="17" borderId="3" xfId="0" applyFont="1" applyFill="1" applyBorder="1" applyAlignment="1">
      <alignment horizontal="left"/>
    </xf>
    <xf numFmtId="0" fontId="3" fillId="17" borderId="7" xfId="0" applyFont="1" applyFill="1" applyBorder="1" applyAlignment="1">
      <alignment horizontal="left"/>
    </xf>
    <xf numFmtId="0" fontId="3" fillId="17" borderId="4" xfId="0" applyFont="1" applyFill="1" applyBorder="1" applyAlignment="1">
      <alignment horizontal="left"/>
    </xf>
    <xf numFmtId="0" fontId="2" fillId="13" borderId="2" xfId="1" applyFont="1" applyFill="1" applyBorder="1" applyAlignment="1">
      <alignment horizontal="left" vertical="center"/>
    </xf>
    <xf numFmtId="0" fontId="3" fillId="2" borderId="2" xfId="1" applyFont="1" applyFill="1" applyBorder="1" applyAlignment="1">
      <alignment horizontal="left" vertical="center"/>
    </xf>
    <xf numFmtId="0" fontId="3" fillId="12" borderId="2" xfId="1" applyFont="1" applyFill="1" applyBorder="1" applyAlignment="1">
      <alignment horizontal="left" vertical="center"/>
    </xf>
    <xf numFmtId="0" fontId="2" fillId="2" borderId="12" xfId="1" applyFont="1" applyFill="1" applyBorder="1" applyAlignment="1">
      <alignment vertical="center"/>
    </xf>
    <xf numFmtId="0" fontId="2" fillId="8" borderId="2" xfId="1" applyFont="1" applyFill="1" applyBorder="1" applyAlignment="1">
      <alignment horizontal="left" vertical="center"/>
    </xf>
    <xf numFmtId="0" fontId="3" fillId="9" borderId="2" xfId="1" applyFont="1" applyFill="1" applyBorder="1" applyAlignment="1">
      <alignment horizontal="left" vertical="center"/>
    </xf>
    <xf numFmtId="0" fontId="3" fillId="14" borderId="0" xfId="1" applyFont="1" applyFill="1" applyAlignment="1">
      <alignment horizontal="left" vertical="center"/>
    </xf>
    <xf numFmtId="0" fontId="3" fillId="14" borderId="13" xfId="1" applyFont="1" applyFill="1" applyBorder="1" applyAlignment="1">
      <alignment horizontal="left" vertical="center"/>
    </xf>
    <xf numFmtId="0" fontId="2" fillId="2" borderId="2" xfId="1" applyFont="1" applyFill="1" applyBorder="1" applyAlignment="1">
      <alignment horizontal="center" vertical="center"/>
    </xf>
    <xf numFmtId="0" fontId="8" fillId="0" borderId="2" xfId="1" applyFont="1" applyBorder="1" applyAlignment="1">
      <alignment horizontal="left" vertical="center"/>
    </xf>
    <xf numFmtId="0" fontId="8" fillId="13" borderId="2" xfId="1" applyFont="1" applyFill="1" applyBorder="1" applyAlignment="1">
      <alignment horizontal="left" vertical="center"/>
    </xf>
    <xf numFmtId="0" fontId="8" fillId="5" borderId="3" xfId="1" applyFont="1" applyFill="1" applyBorder="1" applyAlignment="1">
      <alignment horizontal="center" vertical="center"/>
    </xf>
    <xf numFmtId="0" fontId="8" fillId="5" borderId="7"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7" xfId="1" applyFont="1" applyFill="1" applyBorder="1" applyAlignment="1">
      <alignment horizontal="center" vertical="center"/>
    </xf>
    <xf numFmtId="0" fontId="11" fillId="11" borderId="2" xfId="1" applyFont="1" applyFill="1" applyBorder="1" applyAlignment="1">
      <alignment horizontal="left" vertical="center"/>
    </xf>
    <xf numFmtId="0" fontId="2" fillId="10" borderId="2" xfId="1" applyFont="1" applyFill="1" applyBorder="1" applyAlignment="1">
      <alignment horizontal="left" vertical="center"/>
    </xf>
    <xf numFmtId="0" fontId="8" fillId="0" borderId="3" xfId="1" applyFont="1" applyBorder="1" applyAlignment="1">
      <alignment horizontal="left" vertical="center"/>
    </xf>
    <xf numFmtId="0" fontId="8" fillId="0" borderId="7" xfId="1" applyFont="1" applyBorder="1" applyAlignment="1">
      <alignment horizontal="left" vertical="center"/>
    </xf>
    <xf numFmtId="0" fontId="8" fillId="0" borderId="4" xfId="1" applyFont="1" applyBorder="1" applyAlignment="1">
      <alignment horizontal="left" vertical="center"/>
    </xf>
    <xf numFmtId="0" fontId="1" fillId="0" borderId="0" xfId="0" applyFont="1"/>
  </cellXfs>
  <cellStyles count="25">
    <cellStyle name="Comma" xfId="21" builtinId="3"/>
    <cellStyle name="Comma 2" xfId="9" xr:uid="{00000000-0005-0000-0000-000001000000}"/>
    <cellStyle name="Comma 3" xfId="16" xr:uid="{00000000-0005-0000-0000-000002000000}"/>
    <cellStyle name="Comma 4" xfId="2" xr:uid="{00000000-0005-0000-0000-000003000000}"/>
    <cellStyle name="Currency" xfId="24" builtinId="4"/>
    <cellStyle name="Currency 2" xfId="12" xr:uid="{00000000-0005-0000-0000-000005000000}"/>
    <cellStyle name="Currency 3" xfId="13" xr:uid="{00000000-0005-0000-0000-000006000000}"/>
    <cellStyle name="Currency 4" xfId="19" xr:uid="{00000000-0005-0000-0000-000007000000}"/>
    <cellStyle name="Currency 5" xfId="8" xr:uid="{00000000-0005-0000-0000-000008000000}"/>
    <cellStyle name="Currency 6" xfId="3" xr:uid="{00000000-0005-0000-0000-000009000000}"/>
    <cellStyle name="Heading 3 2" xfId="15" xr:uid="{00000000-0005-0000-0000-00000A000000}"/>
    <cellStyle name="Hyperlink" xfId="22" builtinId="8"/>
    <cellStyle name="Normal" xfId="0" builtinId="0"/>
    <cellStyle name="Normal 2" xfId="10" xr:uid="{00000000-0005-0000-0000-00000D000000}"/>
    <cellStyle name="Normal 3" xfId="14" xr:uid="{00000000-0005-0000-0000-00000E000000}"/>
    <cellStyle name="Normal 4" xfId="5" xr:uid="{00000000-0005-0000-0000-00000F000000}"/>
    <cellStyle name="Normal 5" xfId="6" xr:uid="{00000000-0005-0000-0000-000010000000}"/>
    <cellStyle name="Normal 6" xfId="18" xr:uid="{00000000-0005-0000-0000-000011000000}"/>
    <cellStyle name="Normal 7" xfId="1" xr:uid="{00000000-0005-0000-0000-000012000000}"/>
    <cellStyle name="Percent" xfId="23" builtinId="5"/>
    <cellStyle name="Percent 2" xfId="7" xr:uid="{00000000-0005-0000-0000-000014000000}"/>
    <cellStyle name="Percent 3" xfId="11" xr:uid="{00000000-0005-0000-0000-000015000000}"/>
    <cellStyle name="Percent 4" xfId="17" xr:uid="{00000000-0005-0000-0000-000016000000}"/>
    <cellStyle name="Percent 5" xfId="20" xr:uid="{00000000-0005-0000-0000-000017000000}"/>
    <cellStyle name="Percent 6" xfId="4" xr:uid="{00000000-0005-0000-0000-000018000000}"/>
  </cellStyles>
  <dxfs count="0"/>
  <tableStyles count="0" defaultTableStyle="TableStyleMedium9" defaultPivotStyle="PivotStyleLight16"/>
  <colors>
    <mruColors>
      <color rgb="FF55AB25"/>
      <color rgb="FFAFDC7E"/>
      <color rgb="FFFFFFCC"/>
      <color rgb="FF71A52B"/>
      <color rgb="FFFF66FF"/>
      <color rgb="FFFFFF99"/>
      <color rgb="FFFF66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CNG Project Cumulative Cash Flow</a:t>
            </a:r>
          </a:p>
        </c:rich>
      </c:tx>
      <c:overlay val="0"/>
    </c:title>
    <c:autoTitleDeleted val="0"/>
    <c:plotArea>
      <c:layout/>
      <c:scatterChart>
        <c:scatterStyle val="smoothMarker"/>
        <c:varyColors val="0"/>
        <c:ser>
          <c:idx val="0"/>
          <c:order val="0"/>
          <c:tx>
            <c:strRef>
              <c:f>'Financial Calculations'!$A$37:$D$37</c:f>
              <c:strCache>
                <c:ptCount val="4"/>
                <c:pt idx="0">
                  <c:v>Cumulative Cash Flow</c:v>
                </c:pt>
              </c:strCache>
            </c:strRef>
          </c:tx>
          <c:spPr>
            <a:ln w="38100">
              <a:solidFill>
                <a:srgbClr val="FF0000"/>
              </a:solidFill>
            </a:ln>
          </c:spPr>
          <c:marker>
            <c:symbol val="none"/>
          </c:marker>
          <c:xVal>
            <c:numRef>
              <c:f>'Vehicle &amp; Station Calculations'!$E$19:$Y$19</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'Financial Calculations'!$E$37:$Y$37</c:f>
              <c:numCache>
                <c:formatCode>"$"#,##0_);\("$"#,##0\)</c:formatCode>
                <c:ptCount val="21"/>
                <c:pt idx="0">
                  <c:v>-0.38300000000000001</c:v>
                </c:pt>
                <c:pt idx="1">
                  <c:v>-0.38300000000000001</c:v>
                </c:pt>
                <c:pt idx="2">
                  <c:v>-0.38300000000000001</c:v>
                </c:pt>
                <c:pt idx="3">
                  <c:v>-0.38300000000000001</c:v>
                </c:pt>
                <c:pt idx="4">
                  <c:v>-0.38300000000000001</c:v>
                </c:pt>
                <c:pt idx="5">
                  <c:v>-0.38300000000000001</c:v>
                </c:pt>
                <c:pt idx="6">
                  <c:v>-0.38300000000000001</c:v>
                </c:pt>
                <c:pt idx="7">
                  <c:v>-0.38300000000000001</c:v>
                </c:pt>
                <c:pt idx="8">
                  <c:v>-0.38300000000000001</c:v>
                </c:pt>
                <c:pt idx="9">
                  <c:v>-0.38300000000000001</c:v>
                </c:pt>
                <c:pt idx="10">
                  <c:v>-0.38300000000000001</c:v>
                </c:pt>
                <c:pt idx="11">
                  <c:v>-0.38300000000000001</c:v>
                </c:pt>
                <c:pt idx="12">
                  <c:v>-0.38300000000000001</c:v>
                </c:pt>
                <c:pt idx="13">
                  <c:v>-0.38300000000000001</c:v>
                </c:pt>
                <c:pt idx="14">
                  <c:v>-0.38300000000000001</c:v>
                </c:pt>
                <c:pt idx="15">
                  <c:v>-0.38300000000000001</c:v>
                </c:pt>
                <c:pt idx="16">
                  <c:v>-0.38300000000000001</c:v>
                </c:pt>
                <c:pt idx="17">
                  <c:v>-0.38300000000000001</c:v>
                </c:pt>
                <c:pt idx="18">
                  <c:v>-0.38300000000000001</c:v>
                </c:pt>
                <c:pt idx="19">
                  <c:v>-0.38300000000000001</c:v>
                </c:pt>
                <c:pt idx="20">
                  <c:v>-0.38300000000000001</c:v>
                </c:pt>
              </c:numCache>
            </c:numRef>
          </c:yVal>
          <c:smooth val="1"/>
          <c:extLst>
            <c:ext xmlns:c16="http://schemas.microsoft.com/office/drawing/2014/chart" uri="{C3380CC4-5D6E-409C-BE32-E72D297353CC}">
              <c16:uniqueId val="{00000000-24B2-4149-895B-2F2BED2D6675}"/>
            </c:ext>
          </c:extLst>
        </c:ser>
        <c:dLbls>
          <c:showLegendKey val="0"/>
          <c:showVal val="0"/>
          <c:showCatName val="0"/>
          <c:showSerName val="0"/>
          <c:showPercent val="0"/>
          <c:showBubbleSize val="0"/>
        </c:dLbls>
        <c:axId val="55777536"/>
        <c:axId val="55796096"/>
      </c:scatterChart>
      <c:valAx>
        <c:axId val="55777536"/>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55796096"/>
        <c:crosses val="autoZero"/>
        <c:crossBetween val="midCat"/>
        <c:majorUnit val="1"/>
      </c:valAx>
      <c:valAx>
        <c:axId val="55796096"/>
        <c:scaling>
          <c:orientation val="minMax"/>
        </c:scaling>
        <c:delete val="0"/>
        <c:axPos val="l"/>
        <c:majorGridlines/>
        <c:title>
          <c:tx>
            <c:rich>
              <a:bodyPr rot="-5400000" vert="horz"/>
              <a:lstStyle/>
              <a:p>
                <a:pPr>
                  <a:defRPr sz="1050"/>
                </a:pPr>
                <a:r>
                  <a:rPr lang="en-US" sz="1050"/>
                  <a:t>Cumulative Cash Flow (thousands $)</a:t>
                </a:r>
              </a:p>
            </c:rich>
          </c:tx>
          <c:overlay val="0"/>
        </c:title>
        <c:numFmt formatCode="&quot;$&quot;#,##0_);\(&quot;$&quot;#,##0\)" sourceLinked="1"/>
        <c:majorTickMark val="out"/>
        <c:minorTickMark val="none"/>
        <c:tickLblPos val="nextTo"/>
        <c:crossAx val="55777536"/>
        <c:crosses val="autoZero"/>
        <c:crossBetween val="midCat"/>
        <c:dispUnits>
          <c:builtInUnit val="thousands"/>
        </c:dispUnits>
      </c:valAx>
    </c:plotArea>
    <c:plotVisOnly val="1"/>
    <c:dispBlanksAs val="gap"/>
    <c:showDLblsOverMax val="0"/>
  </c:chart>
  <c:printSettings>
    <c:headerFooter/>
    <c:pageMargins b="0.750000000000006" l="0.70000000000000095" r="0.70000000000000095" t="0.75000000000000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Investment Strategy Visualization
Incremental</a:t>
            </a:r>
            <a:r>
              <a:rPr lang="en-US" sz="1600" baseline="0"/>
              <a:t> </a:t>
            </a:r>
            <a:r>
              <a:rPr lang="en-US" sz="1600"/>
              <a:t>Vehicle &amp; Station Costs</a:t>
            </a:r>
          </a:p>
        </c:rich>
      </c:tx>
      <c:overlay val="0"/>
    </c:title>
    <c:autoTitleDeleted val="0"/>
    <c:plotArea>
      <c:layout/>
      <c:barChart>
        <c:barDir val="col"/>
        <c:grouping val="stacked"/>
        <c:varyColors val="0"/>
        <c:ser>
          <c:idx val="2"/>
          <c:order val="0"/>
          <c:tx>
            <c:strRef>
              <c:f>'Vehicle &amp; Station Calculations'!$B$75:$D$75</c:f>
              <c:strCache>
                <c:ptCount val="3"/>
                <c:pt idx="0">
                  <c:v>Station Investment ($)</c:v>
                </c:pt>
              </c:strCache>
            </c:strRef>
          </c:tx>
          <c:spPr>
            <a:solidFill>
              <a:schemeClr val="tx2"/>
            </a:solidFill>
          </c:spPr>
          <c:invertIfNegative val="0"/>
          <c:val>
            <c:numRef>
              <c:f>'Vehicle &amp; Station Calculations'!$E$75:$Y$75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ABDE-334C-BD58-FA2961BF0865}"/>
            </c:ext>
          </c:extLst>
        </c:ser>
        <c:ser>
          <c:idx val="1"/>
          <c:order val="1"/>
          <c:tx>
            <c:strRef>
              <c:f>'Vehicle &amp; Station Calculations'!$C$56:$D$56</c:f>
              <c:strCache>
                <c:ptCount val="2"/>
                <c:pt idx="0">
                  <c:v>Total Inc. Vehicle Investment</c:v>
                </c:pt>
              </c:strCache>
            </c:strRef>
          </c:tx>
          <c:invertIfNegative val="0"/>
          <c:val>
            <c:numRef>
              <c:f>'Vehicle &amp; Station Calculations'!$E$56:$Y$56</c:f>
              <c:numCache>
                <c:formatCode>#,##0_);\(#,##0\)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ABDE-334C-BD58-FA2961BF0865}"/>
            </c:ext>
          </c:extLst>
        </c:ser>
        <c:dLbls>
          <c:showLegendKey val="0"/>
          <c:showVal val="0"/>
          <c:showCatName val="0"/>
          <c:showSerName val="0"/>
          <c:showPercent val="0"/>
          <c:showBubbleSize val="0"/>
        </c:dLbls>
        <c:gapWidth val="150"/>
        <c:overlap val="100"/>
        <c:axId val="56264192"/>
        <c:axId val="56266112"/>
      </c:barChart>
      <c:catAx>
        <c:axId val="56264192"/>
        <c:scaling>
          <c:orientation val="minMax"/>
        </c:scaling>
        <c:delete val="0"/>
        <c:axPos val="b"/>
        <c:title>
          <c:tx>
            <c:rich>
              <a:bodyPr/>
              <a:lstStyle/>
              <a:p>
                <a:pPr>
                  <a:defRPr/>
                </a:pPr>
                <a:r>
                  <a:rPr lang="en-US"/>
                  <a:t>Project Year</a:t>
                </a:r>
              </a:p>
            </c:rich>
          </c:tx>
          <c:overlay val="0"/>
        </c:title>
        <c:numFmt formatCode="General" sourceLinked="1"/>
        <c:majorTickMark val="out"/>
        <c:minorTickMark val="none"/>
        <c:tickLblPos val="nextTo"/>
        <c:crossAx val="56266112"/>
        <c:crosses val="autoZero"/>
        <c:auto val="1"/>
        <c:lblAlgn val="ctr"/>
        <c:lblOffset val="100"/>
        <c:noMultiLvlLbl val="0"/>
      </c:catAx>
      <c:valAx>
        <c:axId val="56266112"/>
        <c:scaling>
          <c:orientation val="minMax"/>
        </c:scaling>
        <c:delete val="0"/>
        <c:axPos val="l"/>
        <c:majorGridlines/>
        <c:title>
          <c:tx>
            <c:rich>
              <a:bodyPr rot="-5400000" vert="horz"/>
              <a:lstStyle/>
              <a:p>
                <a:pPr>
                  <a:defRPr sz="1100"/>
                </a:pPr>
                <a:r>
                  <a:rPr lang="en-US" sz="1100"/>
                  <a:t>Incremental Station Costs (USD$)</a:t>
                </a:r>
              </a:p>
            </c:rich>
          </c:tx>
          <c:overlay val="0"/>
        </c:title>
        <c:numFmt formatCode="#,##0" sourceLinked="1"/>
        <c:majorTickMark val="out"/>
        <c:minorTickMark val="none"/>
        <c:tickLblPos val="nextTo"/>
        <c:crossAx val="56264192"/>
        <c:crosses val="autoZero"/>
        <c:crossBetween val="between"/>
      </c:valAx>
    </c:plotArea>
    <c:legend>
      <c:legendPos val="b"/>
      <c:overlay val="0"/>
      <c:spPr>
        <a:ln>
          <a:noFill/>
        </a:ln>
      </c:spPr>
      <c:txPr>
        <a:bodyPr/>
        <a:lstStyle/>
        <a:p>
          <a:pPr>
            <a:defRPr sz="1100"/>
          </a:pPr>
          <a:endParaRPr lang="en-US"/>
        </a:p>
      </c:txPr>
    </c:legend>
    <c:plotVisOnly val="1"/>
    <c:dispBlanksAs val="gap"/>
    <c:showDLblsOverMax val="0"/>
  </c:chart>
  <c:printSettings>
    <c:headerFooter/>
    <c:pageMargins b="0.750000000000006" l="0.70000000000000095" r="0.70000000000000095" t="0.75000000000000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CNG Project Projected Payback </a:t>
            </a:r>
          </a:p>
          <a:p>
            <a:pPr>
              <a:defRPr sz="1600"/>
            </a:pPr>
            <a:r>
              <a:rPr lang="en-US" sz="1600"/>
              <a:t>Payback Period (Years) Vs. Rate</a:t>
            </a:r>
            <a:r>
              <a:rPr lang="en-US" sz="1600" baseline="0"/>
              <a:t> of Return</a:t>
            </a:r>
            <a:endParaRPr lang="en-US" sz="1600"/>
          </a:p>
        </c:rich>
      </c:tx>
      <c:overlay val="0"/>
    </c:title>
    <c:autoTitleDeleted val="0"/>
    <c:plotArea>
      <c:layout/>
      <c:barChart>
        <c:barDir val="col"/>
        <c:grouping val="clustered"/>
        <c:varyColors val="0"/>
        <c:ser>
          <c:idx val="0"/>
          <c:order val="0"/>
          <c:invertIfNegative val="0"/>
          <c:cat>
            <c:numRef>
              <c:f>'Financial Calculations'!$B$87:$B$92</c:f>
              <c:numCache>
                <c:formatCode>0%</c:formatCode>
                <c:ptCount val="6"/>
                <c:pt idx="0">
                  <c:v>0.1</c:v>
                </c:pt>
                <c:pt idx="1">
                  <c:v>0.08</c:v>
                </c:pt>
                <c:pt idx="2">
                  <c:v>0.06</c:v>
                </c:pt>
                <c:pt idx="3">
                  <c:v>3.9999999999999994E-2</c:v>
                </c:pt>
                <c:pt idx="4">
                  <c:v>1.9999999999999997E-2</c:v>
                </c:pt>
                <c:pt idx="5">
                  <c:v>0</c:v>
                </c:pt>
              </c:numCache>
            </c:numRef>
          </c:cat>
          <c:val>
            <c:numRef>
              <c:f>'Financial Calculations'!$C$87:$C$92</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1D2-E349-AE2C-943604155713}"/>
            </c:ext>
          </c:extLst>
        </c:ser>
        <c:dLbls>
          <c:showLegendKey val="0"/>
          <c:showVal val="0"/>
          <c:showCatName val="0"/>
          <c:showSerName val="0"/>
          <c:showPercent val="0"/>
          <c:showBubbleSize val="0"/>
        </c:dLbls>
        <c:gapWidth val="150"/>
        <c:axId val="56278016"/>
        <c:axId val="56292480"/>
      </c:barChart>
      <c:catAx>
        <c:axId val="56278016"/>
        <c:scaling>
          <c:orientation val="minMax"/>
        </c:scaling>
        <c:delete val="0"/>
        <c:axPos val="b"/>
        <c:title>
          <c:tx>
            <c:rich>
              <a:bodyPr/>
              <a:lstStyle/>
              <a:p>
                <a:pPr>
                  <a:defRPr sz="1100"/>
                </a:pPr>
                <a:r>
                  <a:rPr lang="en-US" sz="1100"/>
                  <a:t>Discount Rate</a:t>
                </a:r>
              </a:p>
            </c:rich>
          </c:tx>
          <c:overlay val="0"/>
        </c:title>
        <c:numFmt formatCode="0%" sourceLinked="1"/>
        <c:majorTickMark val="out"/>
        <c:minorTickMark val="none"/>
        <c:tickLblPos val="nextTo"/>
        <c:crossAx val="56292480"/>
        <c:crosses val="autoZero"/>
        <c:auto val="1"/>
        <c:lblAlgn val="ctr"/>
        <c:lblOffset val="100"/>
        <c:tickLblSkip val="1"/>
        <c:noMultiLvlLbl val="0"/>
      </c:catAx>
      <c:valAx>
        <c:axId val="56292480"/>
        <c:scaling>
          <c:orientation val="minMax"/>
        </c:scaling>
        <c:delete val="0"/>
        <c:axPos val="l"/>
        <c:majorGridlines/>
        <c:title>
          <c:tx>
            <c:rich>
              <a:bodyPr rot="-5400000" vert="horz"/>
              <a:lstStyle/>
              <a:p>
                <a:pPr>
                  <a:defRPr sz="1100"/>
                </a:pPr>
                <a:r>
                  <a:rPr lang="en-US" sz="1100"/>
                  <a:t>Years to Payback</a:t>
                </a:r>
              </a:p>
            </c:rich>
          </c:tx>
          <c:overlay val="0"/>
        </c:title>
        <c:numFmt formatCode="#,##0.00" sourceLinked="0"/>
        <c:majorTickMark val="out"/>
        <c:minorTickMark val="none"/>
        <c:tickLblPos val="nextTo"/>
        <c:crossAx val="56278016"/>
        <c:crosses val="autoZero"/>
        <c:crossBetween val="between"/>
      </c:valAx>
    </c:plotArea>
    <c:plotVisOnly val="1"/>
    <c:dispBlanksAs val="gap"/>
    <c:showDLblsOverMax val="0"/>
  </c:chart>
  <c:printSettings>
    <c:headerFooter/>
    <c:pageMargins b="0.750000000000006" l="0.70000000000000095" r="0.70000000000000095" t="0.75000000000000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CNG Project Cumulative Petroleum Savings (GGEs)</a:t>
            </a:r>
          </a:p>
        </c:rich>
      </c:tx>
      <c:overlay val="0"/>
    </c:title>
    <c:autoTitleDeleted val="0"/>
    <c:plotArea>
      <c:layout/>
      <c:scatterChart>
        <c:scatterStyle val="smoothMarker"/>
        <c:varyColors val="0"/>
        <c:ser>
          <c:idx val="0"/>
          <c:order val="0"/>
          <c:tx>
            <c:strRef>
              <c:f>'Financial Calculations'!$B$48:$D$48</c:f>
              <c:strCache>
                <c:ptCount val="3"/>
                <c:pt idx="0">
                  <c:v>Conventional Diesel (GGE)</c:v>
                </c:pt>
              </c:strCache>
            </c:strRef>
          </c:tx>
          <c:spPr>
            <a:ln w="38100"/>
          </c:spPr>
          <c:marker>
            <c:symbol val="none"/>
          </c:marker>
          <c:xVal>
            <c:numRef>
              <c:f>'Vehicle &amp; Station Calculations'!$E$19:$Y$19</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'Financial Calculations'!$E$48:$Y$48</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0-9500-5047-A742-A33AEAC77023}"/>
            </c:ext>
          </c:extLst>
        </c:ser>
        <c:ser>
          <c:idx val="1"/>
          <c:order val="1"/>
          <c:tx>
            <c:strRef>
              <c:f>'Financial Calculations'!$B$49:$D$49</c:f>
              <c:strCache>
                <c:ptCount val="3"/>
                <c:pt idx="0">
                  <c:v>Conventional Gasoline (GGE)</c:v>
                </c:pt>
              </c:strCache>
            </c:strRef>
          </c:tx>
          <c:spPr>
            <a:ln w="38100"/>
          </c:spPr>
          <c:marker>
            <c:symbol val="none"/>
          </c:marker>
          <c:xVal>
            <c:numRef>
              <c:f>'Vehicle &amp; Station Calculations'!$E$19:$Y$19</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'Financial Calculations'!$E$49:$Y$49</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1"/>
          <c:extLst>
            <c:ext xmlns:c16="http://schemas.microsoft.com/office/drawing/2014/chart" uri="{C3380CC4-5D6E-409C-BE32-E72D297353CC}">
              <c16:uniqueId val="{00000001-9500-5047-A742-A33AEAC77023}"/>
            </c:ext>
          </c:extLst>
        </c:ser>
        <c:dLbls>
          <c:showLegendKey val="0"/>
          <c:showVal val="0"/>
          <c:showCatName val="0"/>
          <c:showSerName val="0"/>
          <c:showPercent val="0"/>
          <c:showBubbleSize val="0"/>
        </c:dLbls>
        <c:axId val="56798592"/>
        <c:axId val="56804864"/>
      </c:scatterChart>
      <c:valAx>
        <c:axId val="56798592"/>
        <c:scaling>
          <c:orientation val="minMax"/>
          <c:max val="20"/>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56804864"/>
        <c:crosses val="autoZero"/>
        <c:crossBetween val="midCat"/>
        <c:majorUnit val="1"/>
      </c:valAx>
      <c:valAx>
        <c:axId val="56804864"/>
        <c:scaling>
          <c:orientation val="minMax"/>
        </c:scaling>
        <c:delete val="0"/>
        <c:axPos val="l"/>
        <c:majorGridlines/>
        <c:title>
          <c:tx>
            <c:rich>
              <a:bodyPr rot="-5400000" vert="horz"/>
              <a:lstStyle/>
              <a:p>
                <a:pPr>
                  <a:defRPr sz="1100"/>
                </a:pPr>
                <a:r>
                  <a:rPr lang="en-US" sz="1100"/>
                  <a:t>Cumulative Petroleum Savings (thousands GGE)</a:t>
                </a:r>
              </a:p>
            </c:rich>
          </c:tx>
          <c:overlay val="0"/>
        </c:title>
        <c:numFmt formatCode="0" sourceLinked="1"/>
        <c:majorTickMark val="out"/>
        <c:minorTickMark val="none"/>
        <c:tickLblPos val="nextTo"/>
        <c:crossAx val="56798592"/>
        <c:crosses val="autoZero"/>
        <c:crossBetween val="midCat"/>
        <c:dispUnits>
          <c:builtInUnit val="thousands"/>
        </c:dispUnits>
      </c:valAx>
    </c:plotArea>
    <c:legend>
      <c:legendPos val="b"/>
      <c:overlay val="0"/>
      <c:txPr>
        <a:bodyPr/>
        <a:lstStyle/>
        <a:p>
          <a:pPr>
            <a:defRPr sz="1100"/>
          </a:pPr>
          <a:endParaRPr lang="en-US"/>
        </a:p>
      </c:txPr>
    </c:legend>
    <c:plotVisOnly val="1"/>
    <c:dispBlanksAs val="gap"/>
    <c:showDLblsOverMax val="0"/>
  </c:chart>
  <c:printSettings>
    <c:headerFooter/>
    <c:pageMargins b="0.750000000000006" l="0.70000000000000095" r="0.70000000000000095" t="0.75000000000000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Investment Strategy Visualization
CNG Fuel Requirement</a:t>
            </a:r>
            <a:r>
              <a:rPr lang="en-US" sz="1600" baseline="0"/>
              <a:t> and </a:t>
            </a:r>
            <a:r>
              <a:rPr lang="en-US" sz="1600"/>
              <a:t>Capacity</a:t>
            </a:r>
            <a:r>
              <a:rPr lang="en-US" sz="1600" baseline="0"/>
              <a:t> Utilization</a:t>
            </a:r>
            <a:endParaRPr lang="en-US" sz="1600"/>
          </a:p>
        </c:rich>
      </c:tx>
      <c:overlay val="0"/>
    </c:title>
    <c:autoTitleDeleted val="0"/>
    <c:plotArea>
      <c:layout/>
      <c:barChart>
        <c:barDir val="col"/>
        <c:grouping val="clustered"/>
        <c:varyColors val="0"/>
        <c:ser>
          <c:idx val="1"/>
          <c:order val="0"/>
          <c:tx>
            <c:strRef>
              <c:f>'Vehicle &amp; Station Calculations'!$B$60:$D$60</c:f>
              <c:strCache>
                <c:ptCount val="3"/>
                <c:pt idx="0">
                  <c:v>Incremental capacity (GGE/mo)</c:v>
                </c:pt>
              </c:strCache>
            </c:strRef>
          </c:tx>
          <c:invertIfNegative val="0"/>
          <c:cat>
            <c:numRef>
              <c:f>'Vehicle &amp; Station Calculations'!$E$47:$Y$47</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'Vehicle &amp; Station Calculations'!$E$60:$Y$60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19D6-6042-A0B0-FDF7E4AC486A}"/>
            </c:ext>
          </c:extLst>
        </c:ser>
        <c:dLbls>
          <c:showLegendKey val="0"/>
          <c:showVal val="0"/>
          <c:showCatName val="0"/>
          <c:showSerName val="0"/>
          <c:showPercent val="0"/>
          <c:showBubbleSize val="0"/>
        </c:dLbls>
        <c:gapWidth val="150"/>
        <c:axId val="56841344"/>
        <c:axId val="56843264"/>
      </c:barChart>
      <c:lineChart>
        <c:grouping val="standard"/>
        <c:varyColors val="0"/>
        <c:ser>
          <c:idx val="0"/>
          <c:order val="1"/>
          <c:tx>
            <c:strRef>
              <c:f>'Vehicle &amp; Station Calculations'!$B$59:$D$59</c:f>
              <c:strCache>
                <c:ptCount val="3"/>
                <c:pt idx="0">
                  <c:v>Required capacity (GGE/mo) based on in service vehicles</c:v>
                </c:pt>
              </c:strCache>
            </c:strRef>
          </c:tx>
          <c:spPr>
            <a:ln w="38100"/>
          </c:spPr>
          <c:marker>
            <c:symbol val="none"/>
          </c:marker>
          <c:val>
            <c:numRef>
              <c:f>'Vehicle &amp; Station Calculations'!$E$59:$Y$59</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1-19D6-6042-A0B0-FDF7E4AC486A}"/>
            </c:ext>
          </c:extLst>
        </c:ser>
        <c:ser>
          <c:idx val="2"/>
          <c:order val="2"/>
          <c:tx>
            <c:strRef>
              <c:f>'Vehicle &amp; Station Calculations'!$B$61:$D$61</c:f>
              <c:strCache>
                <c:ptCount val="3"/>
                <c:pt idx="0">
                  <c:v>Built Capacity (GGE/mo)</c:v>
                </c:pt>
              </c:strCache>
            </c:strRef>
          </c:tx>
          <c:marker>
            <c:symbol val="none"/>
          </c:marker>
          <c:val>
            <c:numRef>
              <c:f>'Vehicle &amp; Station Calculations'!$E$73:$Y$73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2-19D6-6042-A0B0-FDF7E4AC486A}"/>
            </c:ext>
          </c:extLst>
        </c:ser>
        <c:dLbls>
          <c:showLegendKey val="0"/>
          <c:showVal val="0"/>
          <c:showCatName val="0"/>
          <c:showSerName val="0"/>
          <c:showPercent val="0"/>
          <c:showBubbleSize val="0"/>
        </c:dLbls>
        <c:marker val="1"/>
        <c:smooth val="0"/>
        <c:axId val="56851456"/>
        <c:axId val="56849536"/>
      </c:lineChart>
      <c:catAx>
        <c:axId val="56841344"/>
        <c:scaling>
          <c:orientation val="minMax"/>
        </c:scaling>
        <c:delete val="0"/>
        <c:axPos val="b"/>
        <c:title>
          <c:tx>
            <c:rich>
              <a:bodyPr/>
              <a:lstStyle/>
              <a:p>
                <a:pPr>
                  <a:defRPr/>
                </a:pPr>
                <a:r>
                  <a:rPr lang="en-US"/>
                  <a:t>Project Year</a:t>
                </a:r>
              </a:p>
            </c:rich>
          </c:tx>
          <c:overlay val="0"/>
        </c:title>
        <c:numFmt formatCode="General" sourceLinked="1"/>
        <c:majorTickMark val="out"/>
        <c:minorTickMark val="none"/>
        <c:tickLblPos val="nextTo"/>
        <c:crossAx val="56843264"/>
        <c:crosses val="autoZero"/>
        <c:auto val="1"/>
        <c:lblAlgn val="ctr"/>
        <c:lblOffset val="100"/>
        <c:noMultiLvlLbl val="0"/>
      </c:catAx>
      <c:valAx>
        <c:axId val="56843264"/>
        <c:scaling>
          <c:orientation val="minMax"/>
        </c:scaling>
        <c:delete val="0"/>
        <c:axPos val="l"/>
        <c:majorGridlines/>
        <c:title>
          <c:tx>
            <c:rich>
              <a:bodyPr rot="-5400000" vert="horz"/>
              <a:lstStyle/>
              <a:p>
                <a:pPr>
                  <a:defRPr sz="1100"/>
                </a:pPr>
                <a:r>
                  <a:rPr lang="en-US" sz="1100"/>
                  <a:t>Incremental CNG Fuel Usage (GGE/mo)</a:t>
                </a:r>
              </a:p>
            </c:rich>
          </c:tx>
          <c:layout>
            <c:manualLayout>
              <c:xMode val="edge"/>
              <c:yMode val="edge"/>
              <c:x val="8.0830134390599984E-3"/>
              <c:y val="0.21845515797215256"/>
            </c:manualLayout>
          </c:layout>
          <c:overlay val="0"/>
        </c:title>
        <c:numFmt formatCode="#,##0" sourceLinked="1"/>
        <c:majorTickMark val="out"/>
        <c:minorTickMark val="none"/>
        <c:tickLblPos val="nextTo"/>
        <c:crossAx val="56841344"/>
        <c:crosses val="autoZero"/>
        <c:crossBetween val="between"/>
      </c:valAx>
      <c:valAx>
        <c:axId val="56849536"/>
        <c:scaling>
          <c:orientation val="minMax"/>
        </c:scaling>
        <c:delete val="0"/>
        <c:axPos val="r"/>
        <c:title>
          <c:tx>
            <c:rich>
              <a:bodyPr rot="-5400000" vert="horz"/>
              <a:lstStyle/>
              <a:p>
                <a:pPr>
                  <a:defRPr sz="1100"/>
                </a:pPr>
                <a:r>
                  <a:rPr lang="en-US" sz="1100"/>
                  <a:t>Station Capacity Built &amp; Total (GGE/mo)
</a:t>
                </a:r>
              </a:p>
            </c:rich>
          </c:tx>
          <c:layout>
            <c:manualLayout>
              <c:xMode val="edge"/>
              <c:yMode val="edge"/>
              <c:x val="0.94364523030287362"/>
              <c:y val="0.21232996131645424"/>
            </c:manualLayout>
          </c:layout>
          <c:overlay val="0"/>
        </c:title>
        <c:numFmt formatCode="#,##0" sourceLinked="1"/>
        <c:majorTickMark val="out"/>
        <c:minorTickMark val="none"/>
        <c:tickLblPos val="nextTo"/>
        <c:crossAx val="56851456"/>
        <c:crosses val="max"/>
        <c:crossBetween val="between"/>
      </c:valAx>
      <c:catAx>
        <c:axId val="56851456"/>
        <c:scaling>
          <c:orientation val="minMax"/>
        </c:scaling>
        <c:delete val="1"/>
        <c:axPos val="b"/>
        <c:numFmt formatCode="General" sourceLinked="1"/>
        <c:majorTickMark val="out"/>
        <c:minorTickMark val="none"/>
        <c:tickLblPos val="none"/>
        <c:crossAx val="56849536"/>
        <c:crosses val="autoZero"/>
        <c:auto val="1"/>
        <c:lblAlgn val="ctr"/>
        <c:lblOffset val="100"/>
        <c:noMultiLvlLbl val="0"/>
      </c:catAx>
    </c:plotArea>
    <c:legend>
      <c:legendPos val="b"/>
      <c:layout>
        <c:manualLayout>
          <c:xMode val="edge"/>
          <c:yMode val="edge"/>
          <c:x val="1.1201529127934496E-2"/>
          <c:y val="0.928994499527664"/>
          <c:w val="0.96143078757446065"/>
          <c:h val="5.3751425385861799E-2"/>
        </c:manualLayout>
      </c:layout>
      <c:overlay val="0"/>
      <c:spPr>
        <a:ln>
          <a:noFill/>
        </a:ln>
      </c:spPr>
      <c:txPr>
        <a:bodyPr/>
        <a:lstStyle/>
        <a:p>
          <a:pPr>
            <a:defRPr sz="1050"/>
          </a:pPr>
          <a:endParaRPr lang="en-US"/>
        </a:p>
      </c:txPr>
    </c:legend>
    <c:plotVisOnly val="1"/>
    <c:dispBlanksAs val="gap"/>
    <c:showDLblsOverMax val="0"/>
  </c:chart>
  <c:printSettings>
    <c:headerFooter/>
    <c:pageMargins b="0.750000000000006" l="0.70000000000000095" r="0.70000000000000095" t="0.750000000000006"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CNG Project Vehicle Investment</a:t>
            </a:r>
          </a:p>
        </c:rich>
      </c:tx>
      <c:overlay val="0"/>
    </c:title>
    <c:autoTitleDeleted val="0"/>
    <c:plotArea>
      <c:layout/>
      <c:barChart>
        <c:barDir val="col"/>
        <c:grouping val="clustered"/>
        <c:varyColors val="0"/>
        <c:ser>
          <c:idx val="0"/>
          <c:order val="0"/>
          <c:tx>
            <c:v>Transit Buses</c:v>
          </c:tx>
          <c:invertIfNegative val="0"/>
          <c:cat>
            <c:numRef>
              <c:f>Inputs!$D$93:$X$93</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Inputs!$D$95:$X$95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6E26-AD49-BC8B-457DC2788171}"/>
            </c:ext>
          </c:extLst>
        </c:ser>
        <c:ser>
          <c:idx val="1"/>
          <c:order val="1"/>
          <c:tx>
            <c:v>School Buses</c:v>
          </c:tx>
          <c:invertIfNegative val="0"/>
          <c:val>
            <c:numRef>
              <c:f>Inputs!$D$96:$X$96</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6E26-AD49-BC8B-457DC2788171}"/>
            </c:ext>
          </c:extLst>
        </c:ser>
        <c:ser>
          <c:idx val="2"/>
          <c:order val="2"/>
          <c:tx>
            <c:v>Trash Trucks</c:v>
          </c:tx>
          <c:invertIfNegative val="0"/>
          <c:val>
            <c:numRef>
              <c:f>Inputs!$D$97:$X$97</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6E26-AD49-BC8B-457DC2788171}"/>
            </c:ext>
          </c:extLst>
        </c:ser>
        <c:ser>
          <c:idx val="3"/>
          <c:order val="3"/>
          <c:tx>
            <c:v>Para. Shuttles</c:v>
          </c:tx>
          <c:invertIfNegative val="0"/>
          <c:val>
            <c:numRef>
              <c:f>Inputs!$D$98:$X$98</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3-6E26-AD49-BC8B-457DC2788171}"/>
            </c:ext>
          </c:extLst>
        </c:ser>
        <c:ser>
          <c:idx val="4"/>
          <c:order val="4"/>
          <c:tx>
            <c:v>Delivery Trucks</c:v>
          </c:tx>
          <c:invertIfNegative val="0"/>
          <c:val>
            <c:numRef>
              <c:f>Inputs!$D$99:$X$99</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4-6E26-AD49-BC8B-457DC2788171}"/>
            </c:ext>
          </c:extLst>
        </c:ser>
        <c:ser>
          <c:idx val="5"/>
          <c:order val="5"/>
          <c:tx>
            <c:v>Pickup Trucks</c:v>
          </c:tx>
          <c:invertIfNegative val="0"/>
          <c:val>
            <c:numRef>
              <c:f>Inputs!$D$100:$X$100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5-6E26-AD49-BC8B-457DC2788171}"/>
            </c:ext>
          </c:extLst>
        </c:ser>
        <c:ser>
          <c:idx val="6"/>
          <c:order val="6"/>
          <c:tx>
            <c:v>Taxi Cabs</c:v>
          </c:tx>
          <c:invertIfNegative val="0"/>
          <c:val>
            <c:numRef>
              <c:f>Inputs!$D$101:$X$101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6-6E26-AD49-BC8B-457DC2788171}"/>
            </c:ext>
          </c:extLst>
        </c:ser>
        <c:dLbls>
          <c:showLegendKey val="0"/>
          <c:showVal val="0"/>
          <c:showCatName val="0"/>
          <c:showSerName val="0"/>
          <c:showPercent val="0"/>
          <c:showBubbleSize val="0"/>
        </c:dLbls>
        <c:gapWidth val="150"/>
        <c:axId val="57165696"/>
        <c:axId val="57176064"/>
      </c:barChart>
      <c:catAx>
        <c:axId val="57165696"/>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57176064"/>
        <c:crosses val="autoZero"/>
        <c:auto val="1"/>
        <c:lblAlgn val="ctr"/>
        <c:lblOffset val="100"/>
        <c:tickLblSkip val="1"/>
        <c:noMultiLvlLbl val="0"/>
      </c:catAx>
      <c:valAx>
        <c:axId val="57176064"/>
        <c:scaling>
          <c:orientation val="minMax"/>
        </c:scaling>
        <c:delete val="0"/>
        <c:axPos val="l"/>
        <c:majorGridlines/>
        <c:title>
          <c:tx>
            <c:rich>
              <a:bodyPr rot="-5400000" vert="horz"/>
              <a:lstStyle/>
              <a:p>
                <a:pPr>
                  <a:defRPr sz="1100"/>
                </a:pPr>
                <a:r>
                  <a:rPr lang="en-US" sz="1100"/>
                  <a:t>No. of Vehicles</a:t>
                </a:r>
              </a:p>
            </c:rich>
          </c:tx>
          <c:overlay val="0"/>
        </c:title>
        <c:numFmt formatCode="#,##0" sourceLinked="0"/>
        <c:majorTickMark val="out"/>
        <c:minorTickMark val="none"/>
        <c:tickLblPos val="nextTo"/>
        <c:crossAx val="57165696"/>
        <c:crosses val="autoZero"/>
        <c:crossBetween val="between"/>
      </c:valAx>
    </c:plotArea>
    <c:legend>
      <c:legendPos val="b"/>
      <c:layout>
        <c:manualLayout>
          <c:xMode val="edge"/>
          <c:yMode val="edge"/>
          <c:x val="1.4176380831501327E-2"/>
          <c:y val="0.91792486365407089"/>
          <c:w val="0.97038975913590808"/>
          <c:h val="5.92851336305339E-2"/>
        </c:manualLayout>
      </c:layout>
      <c:overlay val="0"/>
      <c:txPr>
        <a:bodyPr/>
        <a:lstStyle/>
        <a:p>
          <a:pPr>
            <a:defRPr sz="1100"/>
          </a:pPr>
          <a:endParaRPr lang="en-US"/>
        </a:p>
      </c:txPr>
    </c:legend>
    <c:plotVisOnly val="1"/>
    <c:dispBlanksAs val="gap"/>
    <c:showDLblsOverMax val="0"/>
  </c:chart>
  <c:printSettings>
    <c:headerFooter/>
    <c:pageMargins b="0.75000000000000699" l="0.70000000000000095" r="0.70000000000000095" t="0.75000000000000699"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CNG Project Annual Lifecycle GHG Savings (thousand tons)</a:t>
            </a:r>
          </a:p>
        </c:rich>
      </c:tx>
      <c:overlay val="0"/>
    </c:title>
    <c:autoTitleDeleted val="0"/>
    <c:plotArea>
      <c:layout/>
      <c:barChart>
        <c:barDir val="col"/>
        <c:grouping val="clustered"/>
        <c:varyColors val="0"/>
        <c:ser>
          <c:idx val="0"/>
          <c:order val="0"/>
          <c:tx>
            <c:strRef>
              <c:f>'Financial Calculations'!$C$56:$D$56</c:f>
              <c:strCache>
                <c:ptCount val="2"/>
                <c:pt idx="0">
                  <c:v>Annual GHG Displaced (tn)</c:v>
                </c:pt>
              </c:strCache>
            </c:strRef>
          </c:tx>
          <c:spPr>
            <a:ln w="38100"/>
          </c:spPr>
          <c:invertIfNegative val="0"/>
          <c:cat>
            <c:numRef>
              <c:f>'Vehicle &amp; Station Calculations'!$E$19:$Y$19</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'Financial Calculations'!$E$56:$Y$56</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3613-2D49-B4B5-D978A9E8E038}"/>
            </c:ext>
          </c:extLst>
        </c:ser>
        <c:dLbls>
          <c:showLegendKey val="0"/>
          <c:showVal val="0"/>
          <c:showCatName val="0"/>
          <c:showSerName val="0"/>
          <c:showPercent val="0"/>
          <c:showBubbleSize val="0"/>
        </c:dLbls>
        <c:gapWidth val="150"/>
        <c:axId val="57202176"/>
        <c:axId val="57204096"/>
      </c:barChart>
      <c:catAx>
        <c:axId val="57202176"/>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57204096"/>
        <c:crosses val="autoZero"/>
        <c:auto val="1"/>
        <c:lblAlgn val="ctr"/>
        <c:lblOffset val="100"/>
        <c:tickLblSkip val="1"/>
        <c:noMultiLvlLbl val="0"/>
      </c:catAx>
      <c:valAx>
        <c:axId val="57204096"/>
        <c:scaling>
          <c:orientation val="minMax"/>
        </c:scaling>
        <c:delete val="0"/>
        <c:axPos val="l"/>
        <c:majorGridlines/>
        <c:title>
          <c:tx>
            <c:rich>
              <a:bodyPr rot="-5400000" vert="horz"/>
              <a:lstStyle/>
              <a:p>
                <a:pPr>
                  <a:defRPr sz="1100"/>
                </a:pPr>
                <a:r>
                  <a:rPr lang="en-US" sz="1100"/>
                  <a:t>Annual GHG Savings (thousand tons)</a:t>
                </a:r>
              </a:p>
            </c:rich>
          </c:tx>
          <c:overlay val="0"/>
        </c:title>
        <c:numFmt formatCode="#,##0" sourceLinked="1"/>
        <c:majorTickMark val="out"/>
        <c:minorTickMark val="none"/>
        <c:tickLblPos val="nextTo"/>
        <c:crossAx val="57202176"/>
        <c:crosses val="autoZero"/>
        <c:crossBetween val="between"/>
        <c:dispUnits>
          <c:builtInUnit val="thousands"/>
        </c:dispUnits>
      </c:valAx>
    </c:plotArea>
    <c:legend>
      <c:legendPos val="b"/>
      <c:layout>
        <c:manualLayout>
          <c:xMode val="edge"/>
          <c:yMode val="edge"/>
          <c:x val="0.25660169506158498"/>
          <c:y val="0.89637309022382095"/>
          <c:w val="0.50230080995590998"/>
          <c:h val="8.3676896996355193E-2"/>
        </c:manualLayout>
      </c:layout>
      <c:overlay val="0"/>
      <c:txPr>
        <a:bodyPr/>
        <a:lstStyle/>
        <a:p>
          <a:pPr>
            <a:defRPr sz="1100"/>
          </a:pPr>
          <a:endParaRPr lang="en-US"/>
        </a:p>
      </c:txPr>
    </c:legend>
    <c:plotVisOnly val="1"/>
    <c:dispBlanksAs val="gap"/>
    <c:showDLblsOverMax val="0"/>
  </c:chart>
  <c:printSettings>
    <c:headerFooter/>
    <c:pageMargins b="0.75000000000000699" l="0.70000000000000095" r="0.70000000000000095" t="0.75000000000000699"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CNG Project Total Lifecycle GHG Savings (thousand tons)</a:t>
            </a:r>
          </a:p>
        </c:rich>
      </c:tx>
      <c:overlay val="0"/>
    </c:title>
    <c:autoTitleDeleted val="0"/>
    <c:plotArea>
      <c:layout/>
      <c:lineChart>
        <c:grouping val="standard"/>
        <c:varyColors val="0"/>
        <c:ser>
          <c:idx val="0"/>
          <c:order val="0"/>
          <c:tx>
            <c:strRef>
              <c:f>'Financial Calculations'!$C$57:$D$57</c:f>
              <c:strCache>
                <c:ptCount val="2"/>
                <c:pt idx="0">
                  <c:v>Total GHG Displaced (tn)</c:v>
                </c:pt>
              </c:strCache>
            </c:strRef>
          </c:tx>
          <c:marker>
            <c:symbol val="none"/>
          </c:marker>
          <c:cat>
            <c:numRef>
              <c:f>'Vehicle &amp; Station Calculations'!$E$19:$Y$19</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'Financial Calculations'!$E$57:$Y$57</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0-C1A4-A741-B09D-C758BB492E57}"/>
            </c:ext>
          </c:extLst>
        </c:ser>
        <c:dLbls>
          <c:showLegendKey val="0"/>
          <c:showVal val="0"/>
          <c:showCatName val="0"/>
          <c:showSerName val="0"/>
          <c:showPercent val="0"/>
          <c:showBubbleSize val="0"/>
        </c:dLbls>
        <c:smooth val="0"/>
        <c:axId val="56987648"/>
        <c:axId val="56989568"/>
      </c:lineChart>
      <c:catAx>
        <c:axId val="56987648"/>
        <c:scaling>
          <c:orientation val="minMax"/>
        </c:scaling>
        <c:delete val="0"/>
        <c:axPos val="b"/>
        <c:title>
          <c:tx>
            <c:rich>
              <a:bodyPr/>
              <a:lstStyle/>
              <a:p>
                <a:pPr>
                  <a:defRPr sz="1100"/>
                </a:pPr>
                <a:r>
                  <a:rPr lang="en-US" sz="1100"/>
                  <a:t>Project Year</a:t>
                </a:r>
              </a:p>
            </c:rich>
          </c:tx>
          <c:layout>
            <c:manualLayout>
              <c:xMode val="edge"/>
              <c:yMode val="edge"/>
              <c:x val="0.4667971296814597"/>
              <c:y val="0.83998138163764013"/>
            </c:manualLayout>
          </c:layout>
          <c:overlay val="0"/>
        </c:title>
        <c:numFmt formatCode="General" sourceLinked="1"/>
        <c:majorTickMark val="out"/>
        <c:minorTickMark val="none"/>
        <c:tickLblPos val="nextTo"/>
        <c:crossAx val="56989568"/>
        <c:crosses val="autoZero"/>
        <c:auto val="1"/>
        <c:lblAlgn val="ctr"/>
        <c:lblOffset val="100"/>
        <c:tickLblSkip val="1"/>
        <c:noMultiLvlLbl val="0"/>
      </c:catAx>
      <c:valAx>
        <c:axId val="56989568"/>
        <c:scaling>
          <c:orientation val="minMax"/>
        </c:scaling>
        <c:delete val="0"/>
        <c:axPos val="l"/>
        <c:majorGridlines/>
        <c:title>
          <c:tx>
            <c:rich>
              <a:bodyPr rot="-5400000" vert="horz"/>
              <a:lstStyle/>
              <a:p>
                <a:pPr>
                  <a:defRPr sz="1100"/>
                </a:pPr>
                <a:r>
                  <a:rPr lang="en-US" sz="1100"/>
                  <a:t>Annual GHG Savings (thousand</a:t>
                </a:r>
                <a:r>
                  <a:rPr lang="en-US" sz="1100" baseline="0"/>
                  <a:t> tons</a:t>
                </a:r>
                <a:r>
                  <a:rPr lang="en-US" sz="1100"/>
                  <a:t>)</a:t>
                </a:r>
              </a:p>
            </c:rich>
          </c:tx>
          <c:layout>
            <c:manualLayout>
              <c:xMode val="edge"/>
              <c:yMode val="edge"/>
              <c:x val="9.445099183457541E-3"/>
              <c:y val="0.16068163893306439"/>
            </c:manualLayout>
          </c:layout>
          <c:overlay val="0"/>
        </c:title>
        <c:numFmt formatCode="#,##0" sourceLinked="1"/>
        <c:majorTickMark val="out"/>
        <c:minorTickMark val="none"/>
        <c:tickLblPos val="nextTo"/>
        <c:crossAx val="56987648"/>
        <c:crosses val="autoZero"/>
        <c:crossBetween val="between"/>
        <c:dispUnits>
          <c:builtInUnit val="thousands"/>
        </c:dispUnits>
      </c:valAx>
    </c:plotArea>
    <c:legend>
      <c:legendPos val="b"/>
      <c:layout>
        <c:manualLayout>
          <c:xMode val="edge"/>
          <c:yMode val="edge"/>
          <c:x val="0.37269171444168059"/>
          <c:y val="0.92592968982325485"/>
          <c:w val="0.25270466357268401"/>
          <c:h val="6.0126062795766502E-2"/>
        </c:manualLayout>
      </c:layout>
      <c:overlay val="0"/>
      <c:txPr>
        <a:bodyPr/>
        <a:lstStyle/>
        <a:p>
          <a:pPr>
            <a:defRPr sz="1100"/>
          </a:pPr>
          <a:endParaRPr lang="en-US"/>
        </a:p>
      </c:txPr>
    </c:legend>
    <c:plotVisOnly val="1"/>
    <c:dispBlanksAs val="gap"/>
    <c:showDLblsOverMax val="0"/>
  </c:chart>
  <c:printSettings>
    <c:headerFooter/>
    <c:pageMargins b="0.75000000000000699" l="0.70000000000000095" r="0.70000000000000095" t="0.75000000000000699"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CNG Project Annual Petroleum Savings (GGEs)</a:t>
            </a:r>
          </a:p>
        </c:rich>
      </c:tx>
      <c:overlay val="0"/>
    </c:title>
    <c:autoTitleDeleted val="0"/>
    <c:plotArea>
      <c:layout/>
      <c:barChart>
        <c:barDir val="col"/>
        <c:grouping val="clustered"/>
        <c:varyColors val="0"/>
        <c:ser>
          <c:idx val="0"/>
          <c:order val="0"/>
          <c:tx>
            <c:strRef>
              <c:f>'Financial Calculations'!$B$48:$D$48</c:f>
              <c:strCache>
                <c:ptCount val="3"/>
                <c:pt idx="0">
                  <c:v>Conventional Diesel (GGE)</c:v>
                </c:pt>
              </c:strCache>
            </c:strRef>
          </c:tx>
          <c:spPr>
            <a:ln w="38100"/>
          </c:spPr>
          <c:invertIfNegative val="0"/>
          <c:cat>
            <c:numRef>
              <c:f>'Vehicle &amp; Station Calculations'!$E$19:$Y$19</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'Financial Calculations'!$E$44:$Y$44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BE40-D543-AFD6-8297967DE059}"/>
            </c:ext>
          </c:extLst>
        </c:ser>
        <c:ser>
          <c:idx val="1"/>
          <c:order val="1"/>
          <c:tx>
            <c:strRef>
              <c:f>'Financial Calculations'!$B$49:$D$49</c:f>
              <c:strCache>
                <c:ptCount val="3"/>
                <c:pt idx="0">
                  <c:v>Conventional Gasoline (GGE)</c:v>
                </c:pt>
              </c:strCache>
            </c:strRef>
          </c:tx>
          <c:spPr>
            <a:ln w="38100"/>
          </c:spPr>
          <c:invertIfNegative val="0"/>
          <c:cat>
            <c:numRef>
              <c:f>'Vehicle &amp; Station Calculations'!$E$19:$Y$19</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'Financial Calculations'!$E$45:$Y$45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BE40-D543-AFD6-8297967DE059}"/>
            </c:ext>
          </c:extLst>
        </c:ser>
        <c:dLbls>
          <c:showLegendKey val="0"/>
          <c:showVal val="0"/>
          <c:showCatName val="0"/>
          <c:showSerName val="0"/>
          <c:showPercent val="0"/>
          <c:showBubbleSize val="0"/>
        </c:dLbls>
        <c:gapWidth val="150"/>
        <c:axId val="57020800"/>
        <c:axId val="57022720"/>
      </c:barChart>
      <c:catAx>
        <c:axId val="57020800"/>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57022720"/>
        <c:crosses val="autoZero"/>
        <c:auto val="1"/>
        <c:lblAlgn val="ctr"/>
        <c:lblOffset val="100"/>
        <c:tickLblSkip val="1"/>
        <c:noMultiLvlLbl val="0"/>
      </c:catAx>
      <c:valAx>
        <c:axId val="57022720"/>
        <c:scaling>
          <c:orientation val="minMax"/>
        </c:scaling>
        <c:delete val="0"/>
        <c:axPos val="l"/>
        <c:majorGridlines/>
        <c:title>
          <c:tx>
            <c:rich>
              <a:bodyPr rot="-5400000" vert="horz"/>
              <a:lstStyle/>
              <a:p>
                <a:pPr>
                  <a:defRPr sz="1100"/>
                </a:pPr>
                <a:r>
                  <a:rPr lang="en-US" sz="1100"/>
                  <a:t>Annual Petroleum Savings  (thousands GGE)</a:t>
                </a:r>
              </a:p>
            </c:rich>
          </c:tx>
          <c:overlay val="0"/>
        </c:title>
        <c:numFmt formatCode="0" sourceLinked="1"/>
        <c:majorTickMark val="out"/>
        <c:minorTickMark val="none"/>
        <c:tickLblPos val="nextTo"/>
        <c:crossAx val="57020800"/>
        <c:crosses val="autoZero"/>
        <c:crossBetween val="between"/>
        <c:dispUnits>
          <c:builtInUnit val="thousands"/>
        </c:dispUnits>
      </c:valAx>
    </c:plotArea>
    <c:legend>
      <c:legendPos val="b"/>
      <c:overlay val="0"/>
      <c:txPr>
        <a:bodyPr/>
        <a:lstStyle/>
        <a:p>
          <a:pPr>
            <a:defRPr sz="1100"/>
          </a:pPr>
          <a:endParaRPr lang="en-US"/>
        </a:p>
      </c:txPr>
    </c:legend>
    <c:plotVisOnly val="1"/>
    <c:dispBlanksAs val="gap"/>
    <c:showDLblsOverMax val="0"/>
  </c:chart>
  <c:printSettings>
    <c:headerFooter/>
    <c:pageMargins b="0.750000000000006" l="0.70000000000000095" r="0.70000000000000095" t="0.750000000000006" header="0.3" footer="0.3"/>
    <c:pageSetup/>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19049</xdr:rowOff>
    </xdr:from>
    <xdr:to>
      <xdr:col>12</xdr:col>
      <xdr:colOff>285750</xdr:colOff>
      <xdr:row>27</xdr:row>
      <xdr:rowOff>9525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19075" y="133349"/>
          <a:ext cx="7153275" cy="578167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2000" b="1">
              <a:solidFill>
                <a:schemeClr val="dk1"/>
              </a:solidFill>
              <a:latin typeface="+mn-lt"/>
              <a:ea typeface="+mn-ea"/>
              <a:cs typeface="+mn-cs"/>
            </a:rPr>
            <a:t>VICE 2.0: Vehicle and Infrastructure Cash-Flow</a:t>
          </a:r>
          <a:r>
            <a:rPr lang="en-US" sz="2000" b="1" baseline="0">
              <a:solidFill>
                <a:schemeClr val="dk1"/>
              </a:solidFill>
              <a:latin typeface="+mn-lt"/>
              <a:ea typeface="+mn-ea"/>
              <a:cs typeface="+mn-cs"/>
            </a:rPr>
            <a:t> </a:t>
          </a:r>
          <a:r>
            <a:rPr lang="en-US" sz="2000" b="1">
              <a:solidFill>
                <a:schemeClr val="dk1"/>
              </a:solidFill>
              <a:latin typeface="+mn-lt"/>
              <a:ea typeface="+mn-ea"/>
              <a:cs typeface="+mn-cs"/>
            </a:rPr>
            <a:t>Evaluation Model</a:t>
          </a:r>
          <a:endParaRPr lang="en-US" sz="2000">
            <a:solidFill>
              <a:schemeClr val="dk1"/>
            </a:solidFill>
            <a:latin typeface="+mn-lt"/>
            <a:ea typeface="+mn-ea"/>
            <a:cs typeface="+mn-cs"/>
          </a:endParaRPr>
        </a:p>
        <a:p>
          <a:r>
            <a:rPr lang="en-US" sz="1100" b="1">
              <a:solidFill>
                <a:schemeClr val="dk1"/>
              </a:solidFill>
              <a:latin typeface="+mn-lt"/>
              <a:ea typeface="+mn-ea"/>
              <a:cs typeface="+mn-cs"/>
            </a:rPr>
            <a:t> </a:t>
          </a:r>
        </a:p>
        <a:p>
          <a:r>
            <a:rPr lang="en-US" sz="1200">
              <a:solidFill>
                <a:schemeClr val="dk1"/>
              </a:solidFill>
              <a:latin typeface="+mn-lt"/>
              <a:ea typeface="+mn-ea"/>
              <a:cs typeface="+mn-cs"/>
            </a:rPr>
            <a:t>The Vehicle and Infrastructure Cash-Flow Evaluation (VICE) model version 2.0 is the second generation of the financial model developed by the National Renewable</a:t>
          </a:r>
          <a:r>
            <a:rPr lang="en-US" sz="1200" baseline="0">
              <a:solidFill>
                <a:schemeClr val="dk1"/>
              </a:solidFill>
              <a:latin typeface="+mn-lt"/>
              <a:ea typeface="+mn-ea"/>
              <a:cs typeface="+mn-cs"/>
            </a:rPr>
            <a:t> Energy Laboratory </a:t>
          </a:r>
          <a:r>
            <a:rPr lang="en-US" sz="1200">
              <a:solidFill>
                <a:schemeClr val="dk1"/>
              </a:solidFill>
              <a:latin typeface="+mn-lt"/>
              <a:ea typeface="+mn-ea"/>
              <a:cs typeface="+mn-cs"/>
            </a:rPr>
            <a:t>for fleet managers to assess the financial soundness of converting their fleets to run on compressed natural gas (CNG). </a:t>
          </a:r>
        </a:p>
        <a:p>
          <a:endParaRPr lang="en-US" sz="1100">
            <a:solidFill>
              <a:schemeClr val="dk1"/>
            </a:solidFill>
            <a:latin typeface="+mn-lt"/>
            <a:ea typeface="+mn-ea"/>
            <a:cs typeface="+mn-cs"/>
          </a:endParaRPr>
        </a:p>
        <a:p>
          <a:r>
            <a:rPr lang="en-US" sz="1600" b="1">
              <a:solidFill>
                <a:schemeClr val="dk1"/>
              </a:solidFill>
              <a:latin typeface="+mn-lt"/>
              <a:ea typeface="+mn-ea"/>
              <a:cs typeface="+mn-cs"/>
            </a:rPr>
            <a:t>Version 2.0 Enhancements</a:t>
          </a:r>
        </a:p>
        <a:p>
          <a:r>
            <a:rPr lang="en-US" sz="1200">
              <a:solidFill>
                <a:schemeClr val="dk1"/>
              </a:solidFill>
              <a:latin typeface="+mn-lt"/>
              <a:ea typeface="+mn-ea"/>
              <a:cs typeface="+mn-cs"/>
            </a:rPr>
            <a:t>Enhancements to version</a:t>
          </a:r>
          <a:r>
            <a:rPr lang="en-US" sz="1200" baseline="0">
              <a:solidFill>
                <a:schemeClr val="dk1"/>
              </a:solidFill>
              <a:latin typeface="+mn-lt"/>
              <a:ea typeface="+mn-ea"/>
              <a:cs typeface="+mn-cs"/>
            </a:rPr>
            <a:t> 2.0</a:t>
          </a:r>
          <a:r>
            <a:rPr lang="en-US" sz="1200">
              <a:solidFill>
                <a:schemeClr val="dk1"/>
              </a:solidFill>
              <a:latin typeface="+mn-lt"/>
              <a:ea typeface="+mn-ea"/>
              <a:cs typeface="+mn-cs"/>
            </a:rPr>
            <a:t> include the ability to select the project type</a:t>
          </a:r>
          <a:r>
            <a:rPr lang="en-US" sz="1200" baseline="0">
              <a:solidFill>
                <a:schemeClr val="dk1"/>
              </a:solidFill>
              <a:latin typeface="+mn-lt"/>
              <a:ea typeface="+mn-ea"/>
              <a:cs typeface="+mn-cs"/>
            </a:rPr>
            <a:t> (vehicles and infrastructure or vehicles only), as well as </a:t>
          </a:r>
          <a:r>
            <a:rPr lang="en-US" sz="1200">
              <a:solidFill>
                <a:schemeClr val="dk1"/>
              </a:solidFill>
              <a:latin typeface="+mn-lt"/>
              <a:ea typeface="+mn-ea"/>
              <a:cs typeface="+mn-cs"/>
            </a:rPr>
            <a:t>decouple vehicle acquisition</a:t>
          </a:r>
          <a:r>
            <a:rPr lang="en-US" sz="1200" baseline="0">
              <a:solidFill>
                <a:schemeClr val="dk1"/>
              </a:solidFill>
              <a:latin typeface="+mn-lt"/>
              <a:ea typeface="+mn-ea"/>
              <a:cs typeface="+mn-cs"/>
            </a:rPr>
            <a:t> from the infrastructure investment, so the two investments may be made independently.  Additionally, outputs now include a graphical presentation of  investment </a:t>
          </a:r>
          <a:r>
            <a:rPr lang="en-US" sz="1200" baseline="0">
              <a:solidFill>
                <a:sysClr val="windowText" lastClr="000000"/>
              </a:solidFill>
              <a:latin typeface="+mn-lt"/>
              <a:ea typeface="+mn-ea"/>
              <a:cs typeface="+mn-cs"/>
            </a:rPr>
            <a:t>cash flow, payback period (simple and discounted),  </a:t>
          </a:r>
          <a:r>
            <a:rPr lang="en-US" sz="1200" baseline="0">
              <a:solidFill>
                <a:schemeClr val="dk1"/>
              </a:solidFill>
              <a:latin typeface="+mn-lt"/>
              <a:ea typeface="+mn-ea"/>
              <a:cs typeface="+mn-cs"/>
            </a:rPr>
            <a:t>petroleum displacement (annual and cumulative), and  annual greenhouse  gas savings.  Also, the vehicle fleet is now built around several common conventionally-fueled fleet vehicles, both gasoline and diesel.</a:t>
          </a:r>
          <a:endParaRPr lang="en-US" sz="1200">
            <a:solidFill>
              <a:schemeClr val="dk1"/>
            </a:solidFill>
            <a:latin typeface="+mn-lt"/>
            <a:ea typeface="+mn-ea"/>
            <a:cs typeface="+mn-cs"/>
          </a:endParaRPr>
        </a:p>
        <a:p>
          <a:r>
            <a:rPr lang="en-US" sz="1100">
              <a:solidFill>
                <a:schemeClr val="dk1"/>
              </a:solidFill>
              <a:latin typeface="+mn-lt"/>
              <a:ea typeface="+mn-ea"/>
              <a:cs typeface="+mn-cs"/>
            </a:rPr>
            <a:t> </a:t>
          </a:r>
        </a:p>
        <a:p>
          <a:r>
            <a:rPr lang="en-US" sz="1600" b="1">
              <a:solidFill>
                <a:schemeClr val="dk1"/>
              </a:solidFill>
              <a:latin typeface="+mn-lt"/>
              <a:ea typeface="+mn-ea"/>
              <a:cs typeface="+mn-cs"/>
            </a:rPr>
            <a:t>How to Use the Model</a:t>
          </a:r>
        </a:p>
        <a:p>
          <a:r>
            <a:rPr lang="en-US" sz="1200">
              <a:solidFill>
                <a:schemeClr val="dk1"/>
              </a:solidFill>
              <a:latin typeface="+mn-lt"/>
              <a:ea typeface="+mn-ea"/>
              <a:cs typeface="+mn-cs"/>
            </a:rPr>
            <a:t>Go</a:t>
          </a:r>
          <a:r>
            <a:rPr lang="en-US" sz="1200" baseline="0">
              <a:solidFill>
                <a:schemeClr val="dk1"/>
              </a:solidFill>
              <a:latin typeface="+mn-lt"/>
              <a:ea typeface="+mn-ea"/>
              <a:cs typeface="+mn-cs"/>
            </a:rPr>
            <a:t> to the blue </a:t>
          </a:r>
          <a:r>
            <a:rPr lang="en-US" sz="1200" b="0" baseline="0">
              <a:solidFill>
                <a:sysClr val="windowText" lastClr="000000"/>
              </a:solidFill>
              <a:latin typeface="+mn-lt"/>
              <a:ea typeface="+mn-ea"/>
              <a:cs typeface="+mn-cs"/>
            </a:rPr>
            <a:t>Inputs worksheet</a:t>
          </a:r>
          <a:r>
            <a:rPr lang="en-US" sz="1200" b="0" baseline="0">
              <a:solidFill>
                <a:srgbClr val="0070C0"/>
              </a:solidFill>
              <a:latin typeface="+mn-lt"/>
              <a:ea typeface="+mn-ea"/>
              <a:cs typeface="+mn-cs"/>
            </a:rPr>
            <a:t> </a:t>
          </a:r>
          <a:r>
            <a:rPr lang="en-US" sz="1200" b="0" baseline="0">
              <a:solidFill>
                <a:schemeClr val="dk1"/>
              </a:solidFill>
              <a:latin typeface="+mn-lt"/>
              <a:ea typeface="+mn-ea"/>
              <a:cs typeface="+mn-cs"/>
            </a:rPr>
            <a:t>tab and put in the </a:t>
          </a:r>
          <a:r>
            <a:rPr lang="en-US" sz="1200" b="0">
              <a:solidFill>
                <a:schemeClr val="dk1"/>
              </a:solidFill>
              <a:latin typeface="+mn-lt"/>
              <a:ea typeface="+mn-ea"/>
              <a:cs typeface="+mn-cs"/>
            </a:rPr>
            <a:t>parameters relevant to your fleet in the cells.  Use the cell input key provided to determine</a:t>
          </a:r>
          <a:r>
            <a:rPr lang="en-US" sz="1200" b="0" baseline="0">
              <a:solidFill>
                <a:schemeClr val="dk1"/>
              </a:solidFill>
              <a:latin typeface="+mn-lt"/>
              <a:ea typeface="+mn-ea"/>
              <a:cs typeface="+mn-cs"/>
            </a:rPr>
            <a:t> if the inputs are required or optional.  The optional cell inputs contain default values, but you will enhance your results by using specific data from your fleet in these cells. </a:t>
          </a:r>
          <a:r>
            <a:rPr lang="en-US" sz="1200" b="0">
              <a:solidFill>
                <a:schemeClr val="dk1"/>
              </a:solidFill>
              <a:effectLst/>
              <a:latin typeface="+mn-lt"/>
              <a:ea typeface="+mn-ea"/>
              <a:cs typeface="+mn-cs"/>
            </a:rPr>
            <a:t>Links to data</a:t>
          </a:r>
          <a:r>
            <a:rPr lang="en-US" sz="1200" b="0" baseline="0">
              <a:solidFill>
                <a:schemeClr val="dk1"/>
              </a:solidFill>
              <a:effectLst/>
              <a:latin typeface="+mn-lt"/>
              <a:ea typeface="+mn-ea"/>
              <a:cs typeface="+mn-cs"/>
            </a:rPr>
            <a:t> sources for default values </a:t>
          </a:r>
          <a:r>
            <a:rPr lang="en-US" sz="1200" b="0">
              <a:solidFill>
                <a:schemeClr val="dk1"/>
              </a:solidFill>
              <a:effectLst/>
              <a:latin typeface="+mn-lt"/>
              <a:ea typeface="+mn-ea"/>
              <a:cs typeface="+mn-cs"/>
            </a:rPr>
            <a:t>are provided.</a:t>
          </a:r>
          <a:r>
            <a:rPr lang="en-US" sz="1200" b="0" baseline="0">
              <a:solidFill>
                <a:schemeClr val="dk1"/>
              </a:solidFill>
              <a:effectLst/>
              <a:latin typeface="+mn-lt"/>
              <a:ea typeface="+mn-ea"/>
              <a:cs typeface="+mn-cs"/>
            </a:rPr>
            <a:t> You can use these sources to make sure the default values are current.</a:t>
          </a:r>
          <a:endParaRPr lang="en-US" sz="1200" b="0" baseline="0">
            <a:solidFill>
              <a:schemeClr val="dk1"/>
            </a:solidFill>
            <a:latin typeface="+mn-lt"/>
            <a:ea typeface="+mn-ea"/>
            <a:cs typeface="+mn-cs"/>
          </a:endParaRPr>
        </a:p>
        <a:p>
          <a:endParaRPr lang="en-US" sz="1200" b="0">
            <a:solidFill>
              <a:schemeClr val="dk1"/>
            </a:solidFill>
            <a:latin typeface="+mn-lt"/>
            <a:ea typeface="+mn-ea"/>
            <a:cs typeface="+mn-cs"/>
          </a:endParaRPr>
        </a:p>
        <a:p>
          <a:r>
            <a:rPr lang="en-US" sz="1200" b="0">
              <a:solidFill>
                <a:schemeClr val="dk1"/>
              </a:solidFill>
              <a:latin typeface="+mn-lt"/>
              <a:ea typeface="+mn-ea"/>
              <a:cs typeface="+mn-cs"/>
            </a:rPr>
            <a:t>The data needed to accurately model your CNG project is described in more detail in the instructions</a:t>
          </a:r>
          <a:r>
            <a:rPr lang="en-US" sz="1200" b="0" baseline="0">
              <a:solidFill>
                <a:schemeClr val="dk1"/>
              </a:solidFill>
              <a:latin typeface="+mn-lt"/>
              <a:ea typeface="+mn-ea"/>
              <a:cs typeface="+mn-cs"/>
            </a:rPr>
            <a:t> found under the red </a:t>
          </a:r>
          <a:r>
            <a:rPr lang="en-US" sz="1200" b="0" baseline="0">
              <a:solidFill>
                <a:sysClr val="windowText" lastClr="000000"/>
              </a:solidFill>
              <a:latin typeface="+mn-lt"/>
              <a:ea typeface="+mn-ea"/>
              <a:cs typeface="+mn-cs"/>
            </a:rPr>
            <a:t>Instructions </a:t>
          </a:r>
          <a:r>
            <a:rPr lang="en-US" sz="1200" b="0" baseline="0">
              <a:solidFill>
                <a:schemeClr val="dk1"/>
              </a:solidFill>
              <a:latin typeface="+mn-lt"/>
              <a:ea typeface="+mn-ea"/>
              <a:cs typeface="+mn-cs"/>
            </a:rPr>
            <a:t>tab</a:t>
          </a:r>
          <a:r>
            <a:rPr lang="en-US" sz="1200" b="0">
              <a:solidFill>
                <a:schemeClr val="dk1"/>
              </a:solidFill>
              <a:latin typeface="+mn-lt"/>
              <a:ea typeface="+mn-ea"/>
              <a:cs typeface="+mn-cs"/>
            </a:rPr>
            <a:t>. </a:t>
          </a:r>
          <a:r>
            <a:rPr lang="en-US" sz="1200" b="0" baseline="0">
              <a:solidFill>
                <a:schemeClr val="dk1"/>
              </a:solidFill>
              <a:latin typeface="+mn-lt"/>
              <a:ea typeface="+mn-ea"/>
              <a:cs typeface="+mn-cs"/>
            </a:rPr>
            <a:t>You may want to print the information in the Instructions tab to refer to while filling out the Inputs worksheet. </a:t>
          </a:r>
          <a:r>
            <a:rPr lang="en-US" sz="1200" b="0" baseline="0">
              <a:solidFill>
                <a:schemeClr val="dk1"/>
              </a:solidFill>
              <a:effectLst/>
              <a:latin typeface="+mn-lt"/>
              <a:ea typeface="+mn-ea"/>
              <a:cs typeface="+mn-cs"/>
            </a:rPr>
            <a:t>After putting in your data, go to the green </a:t>
          </a:r>
          <a:r>
            <a:rPr lang="en-US" sz="1200" b="0" baseline="0">
              <a:solidFill>
                <a:sysClr val="windowText" lastClr="000000"/>
              </a:solidFill>
              <a:effectLst/>
              <a:latin typeface="+mn-lt"/>
              <a:ea typeface="+mn-ea"/>
              <a:cs typeface="+mn-cs"/>
            </a:rPr>
            <a:t>Results</a:t>
          </a:r>
          <a:r>
            <a:rPr lang="en-US" sz="1200" b="0" baseline="0">
              <a:solidFill>
                <a:srgbClr val="71A52B"/>
              </a:solidFill>
              <a:effectLst/>
              <a:latin typeface="+mn-lt"/>
              <a:ea typeface="+mn-ea"/>
              <a:cs typeface="+mn-cs"/>
            </a:rPr>
            <a:t> </a:t>
          </a:r>
          <a:r>
            <a:rPr lang="en-US" sz="1200" b="0" baseline="0">
              <a:solidFill>
                <a:schemeClr val="dk1"/>
              </a:solidFill>
              <a:effectLst/>
              <a:latin typeface="+mn-lt"/>
              <a:ea typeface="+mn-ea"/>
              <a:cs typeface="+mn-cs"/>
            </a:rPr>
            <a:t>tab to see </a:t>
          </a:r>
          <a:r>
            <a:rPr lang="en-US" sz="1200" baseline="0">
              <a:solidFill>
                <a:schemeClr val="dk1"/>
              </a:solidFill>
              <a:effectLst/>
              <a:latin typeface="+mn-lt"/>
              <a:ea typeface="+mn-ea"/>
              <a:cs typeface="+mn-cs"/>
            </a:rPr>
            <a:t>your results.</a:t>
          </a:r>
          <a:endParaRPr lang="en-US" sz="1200">
            <a:effectLst/>
          </a:endParaRPr>
        </a:p>
        <a:p>
          <a:endParaRPr lang="en-US" sz="1100">
            <a:solidFill>
              <a:schemeClr val="dk1"/>
            </a:solidFill>
            <a:latin typeface="+mn-lt"/>
            <a:ea typeface="+mn-ea"/>
            <a:cs typeface="+mn-cs"/>
          </a:endParaRPr>
        </a:p>
        <a:p>
          <a:r>
            <a:rPr lang="en-US" sz="1600" b="1" i="0">
              <a:solidFill>
                <a:schemeClr val="dk1"/>
              </a:solidFill>
              <a:latin typeface="+mn-lt"/>
              <a:ea typeface="+mn-ea"/>
              <a:cs typeface="+mn-cs"/>
            </a:rPr>
            <a:t>Disclaimer</a:t>
          </a:r>
          <a:endParaRPr lang="en-US" sz="1600" i="0">
            <a:solidFill>
              <a:schemeClr val="dk1"/>
            </a:solidFill>
            <a:latin typeface="+mn-lt"/>
            <a:ea typeface="+mn-ea"/>
            <a:cs typeface="+mn-cs"/>
          </a:endParaRPr>
        </a:p>
        <a:p>
          <a:r>
            <a:rPr lang="en-US" sz="1200" i="0">
              <a:solidFill>
                <a:schemeClr val="dk1"/>
              </a:solidFill>
              <a:latin typeface="+mn-lt"/>
              <a:ea typeface="+mn-ea"/>
              <a:cs typeface="+mn-cs"/>
            </a:rPr>
            <a:t>This model depends on many assumptions that can change from one project to another and over time. You can change any of these assumptions, but many of them (especially the cost of diesel in the future) are very difficult to predict and have a huge impact on the output of the model.</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1678</xdr:colOff>
      <xdr:row>1</xdr:row>
      <xdr:rowOff>0</xdr:rowOff>
    </xdr:from>
    <xdr:ext cx="2751047" cy="90487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30278" y="438150"/>
          <a:ext cx="2751047" cy="904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aseline="0"/>
            <a:t>Input your fleet information in the colored cells to evaluate  the </a:t>
          </a:r>
          <a:r>
            <a:rPr lang="en-US" sz="1100">
              <a:solidFill>
                <a:schemeClr val="tx1"/>
              </a:solidFill>
              <a:effectLst/>
              <a:latin typeface="+mn-lt"/>
              <a:ea typeface="+mn-ea"/>
              <a:cs typeface="+mn-cs"/>
            </a:rPr>
            <a:t>financial soundness</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of converting your fleet to compressed natural gas (CNG). </a:t>
          </a:r>
          <a:endParaRPr lang="en-US">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320675</xdr:colOff>
      <xdr:row>16</xdr:row>
      <xdr:rowOff>152401</xdr:rowOff>
    </xdr:from>
    <xdr:to>
      <xdr:col>13</xdr:col>
      <xdr:colOff>339725</xdr:colOff>
      <xdr:row>75</xdr:row>
      <xdr:rowOff>38100</xdr:rowOff>
    </xdr:to>
    <xdr:grpSp>
      <xdr:nvGrpSpPr>
        <xdr:cNvPr id="10" name="Group 9">
          <a:extLst>
            <a:ext uri="{FF2B5EF4-FFF2-40B4-BE49-F238E27FC236}">
              <a16:creationId xmlns:a16="http://schemas.microsoft.com/office/drawing/2014/main" id="{00000000-0008-0000-0200-00000A000000}"/>
            </a:ext>
          </a:extLst>
        </xdr:cNvPr>
        <xdr:cNvGrpSpPr/>
      </xdr:nvGrpSpPr>
      <xdr:grpSpPr>
        <a:xfrm>
          <a:off x="701675" y="4279901"/>
          <a:ext cx="9010650" cy="11239499"/>
          <a:chOff x="349250" y="2981326"/>
          <a:chExt cx="7772400" cy="11196200"/>
        </a:xfrm>
      </xdr:grpSpPr>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374650" y="2981326"/>
          <a:ext cx="7721600" cy="371626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 name="Chart 8">
            <a:extLst>
              <a:ext uri="{FF2B5EF4-FFF2-40B4-BE49-F238E27FC236}">
                <a16:creationId xmlns:a16="http://schemas.microsoft.com/office/drawing/2014/main" id="{00000000-0008-0000-0200-000009000000}"/>
              </a:ext>
            </a:extLst>
          </xdr:cNvPr>
          <xdr:cNvGraphicFramePr/>
        </xdr:nvGraphicFramePr>
        <xdr:xfrm>
          <a:off x="349250" y="10801351"/>
          <a:ext cx="7772400" cy="337617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1" name="Chart 10">
            <a:extLst>
              <a:ext uri="{FF2B5EF4-FFF2-40B4-BE49-F238E27FC236}">
                <a16:creationId xmlns:a16="http://schemas.microsoft.com/office/drawing/2014/main" id="{00000000-0008-0000-0200-00000B000000}"/>
              </a:ext>
            </a:extLst>
          </xdr:cNvPr>
          <xdr:cNvGraphicFramePr/>
        </xdr:nvGraphicFramePr>
        <xdr:xfrm>
          <a:off x="368300" y="7053229"/>
          <a:ext cx="7734300" cy="3398551"/>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290561</xdr:colOff>
      <xdr:row>82</xdr:row>
      <xdr:rowOff>19050</xdr:rowOff>
    </xdr:from>
    <xdr:to>
      <xdr:col>13</xdr:col>
      <xdr:colOff>409575</xdr:colOff>
      <xdr:row>151</xdr:row>
      <xdr:rowOff>9525</xdr:rowOff>
    </xdr:to>
    <xdr:grpSp>
      <xdr:nvGrpSpPr>
        <xdr:cNvPr id="14" name="Group 13">
          <a:extLst>
            <a:ext uri="{FF2B5EF4-FFF2-40B4-BE49-F238E27FC236}">
              <a16:creationId xmlns:a16="http://schemas.microsoft.com/office/drawing/2014/main" id="{00000000-0008-0000-0200-00000E000000}"/>
            </a:ext>
          </a:extLst>
        </xdr:cNvPr>
        <xdr:cNvGrpSpPr/>
      </xdr:nvGrpSpPr>
      <xdr:grpSpPr>
        <a:xfrm>
          <a:off x="671561" y="17176750"/>
          <a:ext cx="9110614" cy="13681075"/>
          <a:chOff x="9011466" y="328413"/>
          <a:chExt cx="7255768" cy="11749153"/>
        </a:xfrm>
      </xdr:grpSpPr>
      <xdr:graphicFrame macro="">
        <xdr:nvGraphicFramePr>
          <xdr:cNvPr id="15" name="Chart 14">
            <a:extLst>
              <a:ext uri="{FF2B5EF4-FFF2-40B4-BE49-F238E27FC236}">
                <a16:creationId xmlns:a16="http://schemas.microsoft.com/office/drawing/2014/main" id="{00000000-0008-0000-0200-00000F000000}"/>
              </a:ext>
            </a:extLst>
          </xdr:cNvPr>
          <xdr:cNvGraphicFramePr/>
        </xdr:nvGraphicFramePr>
        <xdr:xfrm>
          <a:off x="9011466" y="8422819"/>
          <a:ext cx="7197725" cy="3654747"/>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9" name="Chart 18">
            <a:extLst>
              <a:ext uri="{FF2B5EF4-FFF2-40B4-BE49-F238E27FC236}">
                <a16:creationId xmlns:a16="http://schemas.microsoft.com/office/drawing/2014/main" id="{00000000-0008-0000-0200-000013000000}"/>
              </a:ext>
            </a:extLst>
          </xdr:cNvPr>
          <xdr:cNvGraphicFramePr/>
        </xdr:nvGraphicFramePr>
        <xdr:xfrm>
          <a:off x="9087376" y="328413"/>
          <a:ext cx="7179858" cy="379095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20" name="Chart 19">
            <a:extLst>
              <a:ext uri="{FF2B5EF4-FFF2-40B4-BE49-F238E27FC236}">
                <a16:creationId xmlns:a16="http://schemas.microsoft.com/office/drawing/2014/main" id="{00000000-0008-0000-0200-000014000000}"/>
              </a:ext>
            </a:extLst>
          </xdr:cNvPr>
          <xdr:cNvGraphicFramePr/>
        </xdr:nvGraphicFramePr>
        <xdr:xfrm>
          <a:off x="9031045" y="4507535"/>
          <a:ext cx="7229475" cy="352558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161927</xdr:colOff>
      <xdr:row>161</xdr:row>
      <xdr:rowOff>152400</xdr:rowOff>
    </xdr:from>
    <xdr:to>
      <xdr:col>13</xdr:col>
      <xdr:colOff>413925</xdr:colOff>
      <xdr:row>230</xdr:row>
      <xdr:rowOff>1</xdr:rowOff>
    </xdr:to>
    <xdr:grpSp>
      <xdr:nvGrpSpPr>
        <xdr:cNvPr id="21" name="Group 20">
          <a:extLst>
            <a:ext uri="{FF2B5EF4-FFF2-40B4-BE49-F238E27FC236}">
              <a16:creationId xmlns:a16="http://schemas.microsoft.com/office/drawing/2014/main" id="{00000000-0008-0000-0200-000015000000}"/>
            </a:ext>
          </a:extLst>
        </xdr:cNvPr>
        <xdr:cNvGrpSpPr/>
      </xdr:nvGrpSpPr>
      <xdr:grpSpPr>
        <a:xfrm>
          <a:off x="542927" y="33020000"/>
          <a:ext cx="9243598" cy="12992101"/>
          <a:chOff x="16641847" y="425451"/>
          <a:chExt cx="7168177" cy="11353788"/>
        </a:xfrm>
      </xdr:grpSpPr>
      <xdr:graphicFrame macro="">
        <xdr:nvGraphicFramePr>
          <xdr:cNvPr id="22" name="Chart 21">
            <a:extLst>
              <a:ext uri="{FF2B5EF4-FFF2-40B4-BE49-F238E27FC236}">
                <a16:creationId xmlns:a16="http://schemas.microsoft.com/office/drawing/2014/main" id="{00000000-0008-0000-0200-000016000000}"/>
              </a:ext>
            </a:extLst>
          </xdr:cNvPr>
          <xdr:cNvGraphicFramePr/>
        </xdr:nvGraphicFramePr>
        <xdr:xfrm>
          <a:off x="16682218" y="4595720"/>
          <a:ext cx="7124427" cy="3529104"/>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23" name="Chart 22">
            <a:extLst>
              <a:ext uri="{FF2B5EF4-FFF2-40B4-BE49-F238E27FC236}">
                <a16:creationId xmlns:a16="http://schemas.microsoft.com/office/drawing/2014/main" id="{00000000-0008-0000-0200-000017000000}"/>
              </a:ext>
            </a:extLst>
          </xdr:cNvPr>
          <xdr:cNvGraphicFramePr/>
        </xdr:nvGraphicFramePr>
        <xdr:xfrm>
          <a:off x="16641847" y="8399739"/>
          <a:ext cx="7164317" cy="3379500"/>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24" name="Chart 23">
            <a:extLst>
              <a:ext uri="{FF2B5EF4-FFF2-40B4-BE49-F238E27FC236}">
                <a16:creationId xmlns:a16="http://schemas.microsoft.com/office/drawing/2014/main" id="{00000000-0008-0000-0200-000018000000}"/>
              </a:ext>
            </a:extLst>
          </xdr:cNvPr>
          <xdr:cNvGraphicFramePr/>
        </xdr:nvGraphicFramePr>
        <xdr:xfrm>
          <a:off x="16687443" y="425451"/>
          <a:ext cx="7122581" cy="3819526"/>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0</xdr:row>
      <xdr:rowOff>60614</xdr:rowOff>
    </xdr:from>
    <xdr:to>
      <xdr:col>10</xdr:col>
      <xdr:colOff>3464</xdr:colOff>
      <xdr:row>45</xdr:row>
      <xdr:rowOff>114301</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66699" y="60614"/>
          <a:ext cx="5876060" cy="8808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i="0" u="none" strike="noStrike">
              <a:solidFill>
                <a:schemeClr val="dk1"/>
              </a:solidFill>
              <a:effectLst/>
              <a:latin typeface="+mn-lt"/>
              <a:ea typeface="+mn-ea"/>
              <a:cs typeface="+mn-cs"/>
            </a:rPr>
            <a:t>Glossary of Terms and Acronyms</a:t>
          </a:r>
          <a:r>
            <a:rPr lang="en-US" sz="2000"/>
            <a:t> </a:t>
          </a:r>
        </a:p>
        <a:p>
          <a:endParaRPr lang="en-US" sz="1200" b="1">
            <a:solidFill>
              <a:schemeClr val="dk1"/>
            </a:solidFill>
            <a:latin typeface="+mn-lt"/>
            <a:ea typeface="+mn-ea"/>
            <a:cs typeface="+mn-cs"/>
          </a:endParaRPr>
        </a:p>
        <a:p>
          <a:r>
            <a:rPr lang="en-US" sz="1200" b="1">
              <a:solidFill>
                <a:schemeClr val="dk1"/>
              </a:solidFill>
              <a:latin typeface="+mn-lt"/>
              <a:ea typeface="+mn-ea"/>
              <a:cs typeface="+mn-cs"/>
            </a:rPr>
            <a:t>Compressed natural gas (CNG)—</a:t>
          </a:r>
          <a:r>
            <a:rPr lang="en-US" sz="1200">
              <a:solidFill>
                <a:schemeClr val="dk1"/>
              </a:solidFill>
              <a:latin typeface="+mn-lt"/>
              <a:ea typeface="+mn-ea"/>
              <a:cs typeface="+mn-cs"/>
            </a:rPr>
            <a:t>A gas, consisting primarily of methane, that is compressed to allow more energy to fit into a smaller fuel tank.</a:t>
          </a:r>
        </a:p>
        <a:p>
          <a:endParaRPr lang="en-US" sz="1200">
            <a:solidFill>
              <a:schemeClr val="dk1"/>
            </a:solidFill>
            <a:latin typeface="+mn-lt"/>
            <a:ea typeface="+mn-ea"/>
            <a:cs typeface="+mn-cs"/>
          </a:endParaRPr>
        </a:p>
        <a:p>
          <a:r>
            <a:rPr lang="en-US" sz="1200" b="1">
              <a:solidFill>
                <a:schemeClr val="dk1"/>
              </a:solidFill>
              <a:latin typeface="+mn-lt"/>
              <a:ea typeface="+mn-ea"/>
              <a:cs typeface="+mn-cs"/>
            </a:rPr>
            <a:t>Demand</a:t>
          </a:r>
          <a:r>
            <a:rPr lang="en-US" sz="1200" b="1" baseline="0">
              <a:solidFill>
                <a:schemeClr val="dk1"/>
              </a:solidFill>
              <a:latin typeface="+mn-lt"/>
              <a:ea typeface="+mn-ea"/>
              <a:cs typeface="+mn-cs"/>
            </a:rPr>
            <a:t> response vehicle </a:t>
          </a:r>
          <a:r>
            <a:rPr lang="en-US" sz="1200" baseline="0">
              <a:solidFill>
                <a:schemeClr val="dk1"/>
              </a:solidFill>
              <a:latin typeface="+mn-lt"/>
              <a:ea typeface="+mn-ea"/>
              <a:cs typeface="+mn-cs"/>
            </a:rPr>
            <a:t>- Demand response vehicles (also called paratransit or dial-a-ride) are widely used by transit agencies. The vehicles do not operate over a fixed route or on a fixed schedule. The vehicle may be dispatched to pick up several passengers at different pick-up points before taking them to their respective destinations and may even be interrupted en route to these destinations to pick up other passengers. Demand response service is provided primarily by vans. In 2007, the data changed substantially due to improved estimation methodologies.  Unfortunately, those data are no longer comparable to the rest of the historical series.</a:t>
          </a:r>
          <a:endParaRPr lang="en-US" sz="1200"/>
        </a:p>
        <a:p>
          <a:endParaRPr lang="en-US" sz="1200">
            <a:solidFill>
              <a:schemeClr val="dk1"/>
            </a:solidFill>
            <a:latin typeface="+mn-lt"/>
            <a:ea typeface="+mn-ea"/>
            <a:cs typeface="+mn-cs"/>
          </a:endParaRPr>
        </a:p>
        <a:p>
          <a:r>
            <a:rPr lang="en-US" sz="1200" b="1">
              <a:solidFill>
                <a:schemeClr val="dk1"/>
              </a:solidFill>
              <a:latin typeface="+mn-lt"/>
              <a:ea typeface="+mn-ea"/>
              <a:cs typeface="+mn-cs"/>
            </a:rPr>
            <a:t>Diesel-gallon equivalents (DGE)—</a:t>
          </a:r>
          <a:r>
            <a:rPr lang="en-US" sz="1200">
              <a:solidFill>
                <a:schemeClr val="dk1"/>
              </a:solidFill>
              <a:latin typeface="+mn-lt"/>
              <a:ea typeface="+mn-ea"/>
              <a:cs typeface="+mn-cs"/>
            </a:rPr>
            <a:t>The amount of energy in pne</a:t>
          </a:r>
          <a:r>
            <a:rPr lang="en-US" sz="1200" baseline="0">
              <a:solidFill>
                <a:schemeClr val="dk1"/>
              </a:solidFill>
              <a:latin typeface="+mn-lt"/>
              <a:ea typeface="+mn-ea"/>
              <a:cs typeface="+mn-cs"/>
            </a:rPr>
            <a:t> </a:t>
          </a:r>
          <a:r>
            <a:rPr lang="en-US" sz="1200">
              <a:solidFill>
                <a:schemeClr val="dk1"/>
              </a:solidFill>
              <a:latin typeface="+mn-lt"/>
              <a:ea typeface="+mn-ea"/>
              <a:cs typeface="+mn-cs"/>
            </a:rPr>
            <a:t>gallon of diesel fuel. This is greater than a gasoline-gallon equivalent (GGE).</a:t>
          </a:r>
        </a:p>
        <a:p>
          <a:endParaRPr lang="en-US" sz="1200">
            <a:solidFill>
              <a:schemeClr val="dk1"/>
            </a:solidFill>
            <a:latin typeface="+mn-lt"/>
            <a:ea typeface="+mn-ea"/>
            <a:cs typeface="+mn-cs"/>
          </a:endParaRPr>
        </a:p>
        <a:p>
          <a:r>
            <a:rPr lang="en-US" sz="1200" b="1">
              <a:solidFill>
                <a:schemeClr val="dk1"/>
              </a:solidFill>
              <a:latin typeface="+mn-lt"/>
              <a:ea typeface="+mn-ea"/>
              <a:cs typeface="+mn-cs"/>
            </a:rPr>
            <a:t>Discount rate</a:t>
          </a:r>
          <a:r>
            <a:rPr lang="en-US" sz="1200">
              <a:solidFill>
                <a:schemeClr val="dk1"/>
              </a:solidFill>
              <a:latin typeface="+mn-lt"/>
              <a:ea typeface="+mn-ea"/>
              <a:cs typeface="+mn-cs"/>
            </a:rPr>
            <a:t>—The interest rate used in discounted cash flow analysis to determine the present value of future cash flows. The discount rate takes into account the time value of money (the idea that money available now is worth more than the same amount of money available in the future, because it could be earning interest) and the risk or uncertainty of the anticipated future cash flows (which might be less than expected). </a:t>
          </a:r>
          <a:r>
            <a:rPr lang="en-US" sz="1200" i="1">
              <a:solidFill>
                <a:schemeClr val="dk1"/>
              </a:solidFill>
              <a:latin typeface="+mn-lt"/>
              <a:ea typeface="+mn-ea"/>
              <a:cs typeface="+mn-cs"/>
            </a:rPr>
            <a:t>Investopedia.com</a:t>
          </a:r>
        </a:p>
        <a:p>
          <a:endParaRPr lang="en-US" sz="1200"/>
        </a:p>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Gasoline-gallon equivalents (GGE) </a:t>
          </a:r>
          <a:r>
            <a:rPr lang="en-US" sz="1200">
              <a:solidFill>
                <a:schemeClr val="dk1"/>
              </a:solidFill>
              <a:effectLst/>
              <a:latin typeface="+mn-lt"/>
              <a:ea typeface="+mn-ea"/>
              <a:cs typeface="+mn-cs"/>
            </a:rPr>
            <a:t>— The amount of energy in one gallon of gasoline fuel. </a:t>
          </a:r>
          <a:endParaRPr lang="en-US" sz="1200">
            <a:effectLst/>
          </a:endParaRPr>
        </a:p>
        <a:p>
          <a:endParaRPr lang="en-US" sz="1200">
            <a:solidFill>
              <a:schemeClr val="dk1"/>
            </a:solidFill>
            <a:latin typeface="+mn-lt"/>
            <a:ea typeface="+mn-ea"/>
            <a:cs typeface="+mn-cs"/>
          </a:endParaRPr>
        </a:p>
        <a:p>
          <a:r>
            <a:rPr lang="en-US" sz="1200" b="1">
              <a:solidFill>
                <a:schemeClr val="dk1"/>
              </a:solidFill>
              <a:latin typeface="+mn-lt"/>
              <a:ea typeface="+mn-ea"/>
              <a:cs typeface="+mn-cs"/>
            </a:rPr>
            <a:t>Hostler</a:t>
          </a:r>
          <a:r>
            <a:rPr lang="en-US" sz="1200">
              <a:solidFill>
                <a:schemeClr val="dk1"/>
              </a:solidFill>
              <a:latin typeface="+mn-lt"/>
              <a:ea typeface="+mn-ea"/>
              <a:cs typeface="+mn-cs"/>
            </a:rPr>
            <a:t>—A person who refuels, cleans, and performs regular maintenance for a fleet of buses or trucks at the end of the day.</a:t>
          </a:r>
          <a:endParaRPr lang="en-US" sz="1200"/>
        </a:p>
        <a:p>
          <a:endParaRPr lang="en-US" sz="1200">
            <a:solidFill>
              <a:schemeClr val="dk1"/>
            </a:solidFill>
            <a:latin typeface="+mn-lt"/>
            <a:ea typeface="+mn-ea"/>
            <a:cs typeface="+mn-cs"/>
          </a:endParaRPr>
        </a:p>
        <a:p>
          <a:r>
            <a:rPr lang="en-US" sz="1200" b="1">
              <a:solidFill>
                <a:schemeClr val="dk1"/>
              </a:solidFill>
              <a:latin typeface="+mn-lt"/>
              <a:ea typeface="+mn-ea"/>
              <a:cs typeface="+mn-cs"/>
            </a:rPr>
            <a:t>Net present value (NPV</a:t>
          </a:r>
          <a:r>
            <a:rPr lang="en-US" sz="1200">
              <a:solidFill>
                <a:schemeClr val="dk1"/>
              </a:solidFill>
              <a:latin typeface="+mn-lt"/>
              <a:ea typeface="+mn-ea"/>
              <a:cs typeface="+mn-cs"/>
            </a:rPr>
            <a:t>)— The difference between the present value of cash inflows and the present value of cash outflows. All present-value cash flows have been discounted so that recent flows are worth more than future flows.</a:t>
          </a:r>
          <a:endParaRPr lang="en-US" sz="1200"/>
        </a:p>
        <a:p>
          <a:endParaRPr lang="en-US" sz="1200">
            <a:solidFill>
              <a:schemeClr val="dk1"/>
            </a:solidFill>
            <a:latin typeface="+mn-lt"/>
            <a:ea typeface="+mn-ea"/>
            <a:cs typeface="+mn-cs"/>
          </a:endParaRPr>
        </a:p>
        <a:p>
          <a:r>
            <a:rPr lang="en-US" sz="1200" b="1">
              <a:solidFill>
                <a:schemeClr val="dk1"/>
              </a:solidFill>
              <a:latin typeface="+mn-lt"/>
              <a:ea typeface="+mn-ea"/>
              <a:cs typeface="+mn-cs"/>
            </a:rPr>
            <a:t>Rate of return (ROR)</a:t>
          </a:r>
          <a:r>
            <a:rPr lang="en-US" sz="1200" b="0">
              <a:solidFill>
                <a:schemeClr val="dk1"/>
              </a:solidFill>
              <a:latin typeface="+mn-lt"/>
              <a:ea typeface="+mn-ea"/>
              <a:cs typeface="+mn-cs"/>
            </a:rPr>
            <a:t>—</a:t>
          </a:r>
          <a:r>
            <a:rPr lang="en-US" sz="1200">
              <a:solidFill>
                <a:schemeClr val="dk1"/>
              </a:solidFill>
              <a:latin typeface="+mn-lt"/>
              <a:ea typeface="+mn-ea"/>
              <a:cs typeface="+mn-cs"/>
            </a:rPr>
            <a:t>The gain or loss on an investment over a specified period expressed as a percentage increase over the initial investment cost. </a:t>
          </a:r>
          <a:r>
            <a:rPr lang="en-US" sz="1200" i="1">
              <a:solidFill>
                <a:schemeClr val="dk1"/>
              </a:solidFill>
              <a:effectLst/>
              <a:latin typeface="+mn-lt"/>
              <a:ea typeface="+mn-ea"/>
              <a:cs typeface="+mn-cs"/>
            </a:rPr>
            <a:t>Investopedia.com</a:t>
          </a:r>
          <a:endParaRPr lang="en-US" sz="1200">
            <a:effectLst/>
          </a:endParaRPr>
        </a:p>
        <a:p>
          <a:endParaRPr lang="en-US" sz="1200">
            <a:solidFill>
              <a:schemeClr val="dk1"/>
            </a:solidFill>
            <a:latin typeface="+mn-lt"/>
            <a:ea typeface="+mn-ea"/>
            <a:cs typeface="+mn-cs"/>
          </a:endParaRPr>
        </a:p>
        <a:p>
          <a:r>
            <a:rPr lang="en-US" sz="1200" b="1">
              <a:solidFill>
                <a:schemeClr val="dk1"/>
              </a:solidFill>
              <a:latin typeface="+mn-lt"/>
              <a:ea typeface="+mn-ea"/>
              <a:cs typeface="+mn-cs"/>
            </a:rPr>
            <a:t>Refueling window</a:t>
          </a:r>
          <a:r>
            <a:rPr lang="en-US" sz="1200">
              <a:solidFill>
                <a:schemeClr val="dk1"/>
              </a:solidFill>
              <a:latin typeface="+mn-lt"/>
              <a:ea typeface="+mn-ea"/>
              <a:cs typeface="+mn-cs"/>
            </a:rPr>
            <a:t>—The period of time in which vehicles are available to refuel.</a:t>
          </a:r>
          <a:endParaRPr lang="en-US" sz="1200"/>
        </a:p>
        <a:p>
          <a:endParaRPr lang="en-US" sz="1200">
            <a:solidFill>
              <a:schemeClr val="dk1"/>
            </a:solidFill>
            <a:latin typeface="+mn-lt"/>
            <a:ea typeface="+mn-ea"/>
            <a:cs typeface="+mn-cs"/>
          </a:endParaRPr>
        </a:p>
        <a:p>
          <a:r>
            <a:rPr lang="en-US" sz="1200" b="1">
              <a:solidFill>
                <a:schemeClr val="dk1"/>
              </a:solidFill>
              <a:latin typeface="+mn-lt"/>
              <a:ea typeface="+mn-ea"/>
              <a:cs typeface="+mn-cs"/>
            </a:rPr>
            <a:t>Vehicle-miles traveled (VMT)</a:t>
          </a:r>
          <a:r>
            <a:rPr lang="en-US" sz="1200" b="0">
              <a:solidFill>
                <a:schemeClr val="dk1"/>
              </a:solidFill>
              <a:latin typeface="+mn-lt"/>
              <a:ea typeface="+mn-ea"/>
              <a:cs typeface="+mn-cs"/>
            </a:rPr>
            <a:t>—</a:t>
          </a:r>
          <a:r>
            <a:rPr lang="en-US" sz="1200">
              <a:solidFill>
                <a:schemeClr val="dk1"/>
              </a:solidFill>
              <a:latin typeface="+mn-lt"/>
              <a:ea typeface="+mn-ea"/>
              <a:cs typeface="+mn-cs"/>
            </a:rPr>
            <a:t>The number of miles traveled by one vehicle in one  year.</a:t>
          </a:r>
          <a:endParaRPr lang="en-US" sz="1200"/>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api.org/oil-and-natural-gas-overview/industry-economics/fuel-taxes" TargetMode="External"/><Relationship Id="rId13" Type="http://schemas.openxmlformats.org/officeDocument/2006/relationships/hyperlink" Target="http://www.api.org/oil-and-natural-gas-overview/industry-economics/~/media/Files/Statistics/state-motor-fuel-taxes-report.pdf" TargetMode="External"/><Relationship Id="rId18" Type="http://schemas.openxmlformats.org/officeDocument/2006/relationships/hyperlink" Target="http://www.afdc.energy.gov/laws/law/US/10513" TargetMode="External"/><Relationship Id="rId3" Type="http://schemas.openxmlformats.org/officeDocument/2006/relationships/hyperlink" Target="http://www.eia.gov/forecasts/aeo/pdf/appa.pdf" TargetMode="External"/><Relationship Id="rId7" Type="http://schemas.openxmlformats.org/officeDocument/2006/relationships/hyperlink" Target="http://www.api.org/oil-and-natural-gas-overview/industry-economics/fuel-taxes" TargetMode="External"/><Relationship Id="rId12" Type="http://schemas.openxmlformats.org/officeDocument/2006/relationships/hyperlink" Target="http://www.api.org/oil-and-natural-gas-overview/industry-economics/~/media/Files/Statistics/state-motor-fuel-taxes-report.pdf" TargetMode="External"/><Relationship Id="rId17" Type="http://schemas.openxmlformats.org/officeDocument/2006/relationships/hyperlink" Target="http://www.irs.gov/Businesses/Corporations/Alternative-Motor-Vehicle-Credit" TargetMode="External"/><Relationship Id="rId2" Type="http://schemas.openxmlformats.org/officeDocument/2006/relationships/hyperlink" Target="http://www.afdc.energy.gov/fuels/prices.html" TargetMode="External"/><Relationship Id="rId16" Type="http://schemas.openxmlformats.org/officeDocument/2006/relationships/hyperlink" Target="http://www.munibondadvisor.com/market.htm" TargetMode="External"/><Relationship Id="rId1" Type="http://schemas.openxmlformats.org/officeDocument/2006/relationships/hyperlink" Target="http://www.afdc.energy.gov/laws/law/US/319" TargetMode="External"/><Relationship Id="rId6" Type="http://schemas.openxmlformats.org/officeDocument/2006/relationships/hyperlink" Target="http://www.eia.gov/forecasts/aeo/pdf/appa.pdf" TargetMode="External"/><Relationship Id="rId11" Type="http://schemas.openxmlformats.org/officeDocument/2006/relationships/hyperlink" Target="http://www.eia.gov/forecasts/aeo/pdf/appa.pdf" TargetMode="External"/><Relationship Id="rId5" Type="http://schemas.openxmlformats.org/officeDocument/2006/relationships/hyperlink" Target="http://www.afdc.energy.gov/fuels/prices.html" TargetMode="External"/><Relationship Id="rId15" Type="http://schemas.openxmlformats.org/officeDocument/2006/relationships/hyperlink" Target="http://newsroom.aaa.com/2013/04/cost-of-owning-and-operating-vehicle-in-u-s-increases-nearly-two-percent-according-to-aaas-2013-your-driving-costs-study/" TargetMode="External"/><Relationship Id="rId10" Type="http://schemas.openxmlformats.org/officeDocument/2006/relationships/hyperlink" Target="http://www.afdc.energy.gov/fuels/prices.html" TargetMode="External"/><Relationship Id="rId19" Type="http://schemas.openxmlformats.org/officeDocument/2006/relationships/drawing" Target="../drawings/drawing2.xml"/><Relationship Id="rId4" Type="http://schemas.openxmlformats.org/officeDocument/2006/relationships/hyperlink" Target="http://greet.es.anl.gov/" TargetMode="External"/><Relationship Id="rId9" Type="http://schemas.openxmlformats.org/officeDocument/2006/relationships/hyperlink" Target="http://greet.es.anl.gov/" TargetMode="External"/><Relationship Id="rId14" Type="http://schemas.openxmlformats.org/officeDocument/2006/relationships/hyperlink" Target="http://greet.es.anl.go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N37"/>
  <sheetViews>
    <sheetView showGridLines="0" tabSelected="1" workbookViewId="0"/>
  </sheetViews>
  <sheetFormatPr baseColWidth="10" defaultColWidth="8.83203125" defaultRowHeight="15" x14ac:dyDescent="0.2"/>
  <cols>
    <col min="1" max="1" width="4.83203125" customWidth="1"/>
    <col min="12" max="12" width="12.83203125" customWidth="1"/>
  </cols>
  <sheetData>
    <row r="1" spans="1:14" ht="9" customHeight="1" x14ac:dyDescent="0.2"/>
    <row r="2" spans="1:14" ht="12.75" customHeight="1" x14ac:dyDescent="0.25">
      <c r="A2" s="82"/>
      <c r="B2" s="77"/>
      <c r="C2" s="82"/>
      <c r="D2" s="82"/>
      <c r="E2" s="82"/>
      <c r="F2" s="82"/>
      <c r="G2" s="82"/>
      <c r="H2" s="40"/>
      <c r="I2" s="40"/>
      <c r="J2" s="73"/>
      <c r="K2" s="40"/>
      <c r="L2" s="40"/>
      <c r="M2" s="40"/>
      <c r="N2" s="40"/>
    </row>
    <row r="3" spans="1:14" ht="13.5" customHeight="1" x14ac:dyDescent="0.2">
      <c r="A3" s="79"/>
      <c r="B3" s="71"/>
      <c r="C3" s="40"/>
      <c r="D3" s="40"/>
      <c r="E3" s="40"/>
      <c r="F3" s="40"/>
      <c r="G3" s="40"/>
      <c r="H3" s="40"/>
      <c r="I3" s="40"/>
      <c r="J3" s="72"/>
      <c r="K3" s="40"/>
      <c r="L3" s="40"/>
      <c r="M3" s="40"/>
      <c r="N3" s="40"/>
    </row>
    <row r="4" spans="1:14" ht="12.75" customHeight="1" x14ac:dyDescent="0.2">
      <c r="A4" s="83"/>
      <c r="B4" s="71"/>
      <c r="C4" s="83"/>
      <c r="D4" s="83"/>
      <c r="E4" s="83"/>
      <c r="F4" s="83"/>
      <c r="G4" s="83"/>
      <c r="H4" s="83"/>
      <c r="I4" s="83"/>
      <c r="J4" s="71"/>
      <c r="K4" s="83"/>
      <c r="L4" s="83"/>
      <c r="M4" s="83"/>
      <c r="N4" s="83"/>
    </row>
    <row r="5" spans="1:14" x14ac:dyDescent="0.2">
      <c r="A5" s="83"/>
      <c r="B5" s="71"/>
      <c r="C5" s="83"/>
      <c r="D5" s="83"/>
      <c r="E5" s="83"/>
      <c r="F5" s="83"/>
      <c r="G5" s="83"/>
      <c r="H5" s="83"/>
      <c r="I5" s="83"/>
      <c r="J5" s="71"/>
      <c r="K5" s="83"/>
      <c r="L5" s="83"/>
      <c r="M5" s="83"/>
      <c r="N5" s="83"/>
    </row>
    <row r="6" spans="1:14" x14ac:dyDescent="0.2">
      <c r="A6" s="83"/>
      <c r="B6" s="71"/>
      <c r="C6" s="83"/>
      <c r="D6" s="83"/>
      <c r="E6" s="83"/>
      <c r="F6" s="83"/>
      <c r="G6" s="83"/>
      <c r="H6" s="83"/>
      <c r="I6" s="83"/>
      <c r="J6" s="72"/>
      <c r="K6" s="83"/>
      <c r="L6" s="83"/>
      <c r="M6" s="83"/>
      <c r="N6" s="83"/>
    </row>
    <row r="7" spans="1:14" x14ac:dyDescent="0.2">
      <c r="A7" s="83"/>
      <c r="B7" s="71"/>
      <c r="C7" s="83"/>
      <c r="D7" s="83"/>
      <c r="E7" s="83"/>
      <c r="F7" s="83"/>
      <c r="G7" s="83"/>
      <c r="H7" s="83"/>
      <c r="I7" s="83"/>
      <c r="J7" s="71"/>
      <c r="K7" s="83"/>
      <c r="L7" s="83"/>
      <c r="M7" s="83"/>
      <c r="N7" s="83"/>
    </row>
    <row r="8" spans="1:14" x14ac:dyDescent="0.2">
      <c r="A8" s="83"/>
      <c r="B8" s="71"/>
      <c r="C8" s="83"/>
      <c r="D8" s="83"/>
      <c r="E8" s="83"/>
      <c r="F8" s="83"/>
      <c r="G8" s="83"/>
      <c r="H8" s="83"/>
      <c r="I8" s="83"/>
      <c r="J8" s="71"/>
      <c r="K8" s="83"/>
      <c r="L8" s="83"/>
      <c r="M8" s="83"/>
      <c r="N8" s="83"/>
    </row>
    <row r="9" spans="1:14" x14ac:dyDescent="0.2">
      <c r="A9" s="83"/>
      <c r="B9" s="71"/>
      <c r="C9" s="83"/>
      <c r="D9" s="83"/>
      <c r="E9" s="83"/>
      <c r="F9" s="83"/>
      <c r="G9" s="83"/>
      <c r="H9" s="83"/>
      <c r="I9" s="83"/>
      <c r="J9" s="71"/>
      <c r="K9" s="83"/>
      <c r="L9" s="83"/>
      <c r="M9" s="83"/>
      <c r="N9" s="83"/>
    </row>
    <row r="10" spans="1:14" x14ac:dyDescent="0.2">
      <c r="A10" s="84"/>
      <c r="B10" s="71"/>
      <c r="C10" s="84"/>
      <c r="D10" s="84"/>
      <c r="E10" s="84"/>
      <c r="F10" s="84"/>
      <c r="G10" s="84"/>
      <c r="H10" s="84"/>
      <c r="I10" s="84"/>
      <c r="J10" s="72"/>
      <c r="K10" s="84"/>
      <c r="L10" s="84"/>
      <c r="M10" s="84"/>
      <c r="N10" s="84"/>
    </row>
    <row r="11" spans="1:14" x14ac:dyDescent="0.2">
      <c r="A11" s="84"/>
      <c r="B11" s="71"/>
      <c r="C11" s="84"/>
      <c r="D11" s="84"/>
      <c r="E11" s="84"/>
      <c r="F11" s="84"/>
      <c r="G11" s="84"/>
      <c r="H11" s="84"/>
      <c r="I11" s="84"/>
      <c r="J11" s="71"/>
      <c r="K11" s="84"/>
      <c r="L11" s="84"/>
      <c r="M11" s="84"/>
      <c r="N11" s="84"/>
    </row>
    <row r="12" spans="1:14" x14ac:dyDescent="0.2">
      <c r="A12" s="84"/>
      <c r="B12" s="84"/>
      <c r="C12" s="84"/>
      <c r="D12" s="84"/>
      <c r="E12" s="84"/>
      <c r="F12" s="84"/>
      <c r="G12" s="84"/>
      <c r="H12" s="84"/>
      <c r="I12" s="84"/>
      <c r="J12" s="71"/>
      <c r="K12" s="84"/>
      <c r="L12" s="84"/>
      <c r="M12" s="84"/>
      <c r="N12" s="84"/>
    </row>
    <row r="13" spans="1:14" x14ac:dyDescent="0.2">
      <c r="A13" s="84"/>
      <c r="B13" s="84"/>
      <c r="C13" s="84"/>
      <c r="D13" s="84"/>
      <c r="E13" s="84"/>
      <c r="F13" s="84"/>
      <c r="G13" s="84"/>
      <c r="H13" s="84"/>
      <c r="I13" s="84"/>
      <c r="J13" s="72"/>
      <c r="K13" s="84"/>
      <c r="L13" s="84"/>
      <c r="M13" s="84"/>
      <c r="N13" s="84"/>
    </row>
    <row r="14" spans="1:14" x14ac:dyDescent="0.2">
      <c r="A14" s="79"/>
      <c r="B14" s="40"/>
      <c r="C14" s="40"/>
      <c r="D14" s="40"/>
      <c r="E14" s="40"/>
      <c r="F14" s="40"/>
      <c r="G14" s="40"/>
      <c r="H14" s="40"/>
      <c r="I14" s="40"/>
      <c r="J14" s="71"/>
      <c r="K14" s="40"/>
      <c r="L14" s="40"/>
      <c r="M14" s="40"/>
      <c r="N14" s="40"/>
    </row>
    <row r="15" spans="1:14" x14ac:dyDescent="0.2">
      <c r="A15" s="80"/>
      <c r="B15" s="40"/>
      <c r="C15" s="40"/>
      <c r="D15" s="40"/>
      <c r="E15" s="40"/>
      <c r="F15" s="40"/>
      <c r="G15" s="40"/>
      <c r="H15" s="40"/>
      <c r="I15" s="40"/>
      <c r="J15" s="71"/>
      <c r="K15" s="40"/>
      <c r="L15" s="40"/>
      <c r="M15" s="40"/>
      <c r="N15" s="40"/>
    </row>
    <row r="16" spans="1:14" x14ac:dyDescent="0.2">
      <c r="A16" s="78"/>
      <c r="B16" s="40"/>
      <c r="C16" s="40"/>
      <c r="D16" s="40"/>
      <c r="E16" s="40"/>
      <c r="F16" s="40"/>
      <c r="G16" s="40"/>
      <c r="H16" s="40"/>
      <c r="I16" s="40"/>
      <c r="J16" s="71"/>
      <c r="K16" s="40"/>
      <c r="L16" s="40"/>
      <c r="M16" s="40"/>
      <c r="N16" s="40"/>
    </row>
    <row r="17" spans="1:2" x14ac:dyDescent="0.2">
      <c r="A17" s="79"/>
    </row>
    <row r="18" spans="1:2" x14ac:dyDescent="0.2">
      <c r="A18" s="78"/>
    </row>
    <row r="19" spans="1:2" x14ac:dyDescent="0.2">
      <c r="A19" s="79"/>
    </row>
    <row r="20" spans="1:2" x14ac:dyDescent="0.2">
      <c r="A20" s="81"/>
    </row>
    <row r="21" spans="1:2" x14ac:dyDescent="0.2">
      <c r="A21" s="81"/>
    </row>
    <row r="22" spans="1:2" ht="18" customHeight="1" x14ac:dyDescent="0.2">
      <c r="A22" s="81"/>
    </row>
    <row r="23" spans="1:2" ht="3.75" hidden="1" customHeight="1" x14ac:dyDescent="0.2">
      <c r="A23" s="81"/>
    </row>
    <row r="24" spans="1:2" x14ac:dyDescent="0.2">
      <c r="A24" s="81"/>
    </row>
    <row r="25" spans="1:2" x14ac:dyDescent="0.2">
      <c r="A25" s="81"/>
    </row>
    <row r="26" spans="1:2" ht="9.75" customHeight="1" x14ac:dyDescent="0.2">
      <c r="A26" s="81"/>
    </row>
    <row r="27" spans="1:2" ht="92.25" customHeight="1" x14ac:dyDescent="0.2">
      <c r="A27" s="81"/>
    </row>
    <row r="28" spans="1:2" ht="9.75" customHeight="1" x14ac:dyDescent="0.2"/>
    <row r="29" spans="1:2" ht="11.25" customHeight="1" x14ac:dyDescent="0.2">
      <c r="B29" s="216" t="s">
        <v>319</v>
      </c>
    </row>
    <row r="30" spans="1:2" ht="15.75" customHeight="1" x14ac:dyDescent="0.2">
      <c r="B30" s="216" t="s">
        <v>397</v>
      </c>
    </row>
    <row r="31" spans="1:2" ht="33.75" customHeight="1" x14ac:dyDescent="0.2"/>
    <row r="33" ht="23.25" customHeight="1" x14ac:dyDescent="0.2"/>
    <row r="34" ht="23.25" customHeight="1" x14ac:dyDescent="0.2"/>
    <row r="35" ht="23.25" customHeight="1" x14ac:dyDescent="0.2"/>
    <row r="36" ht="23.25" customHeight="1" x14ac:dyDescent="0.2"/>
    <row r="37" ht="20.25" customHeight="1" x14ac:dyDescent="0.2"/>
  </sheetData>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AM123"/>
  <sheetViews>
    <sheetView showGridLines="0" workbookViewId="0"/>
  </sheetViews>
  <sheetFormatPr baseColWidth="10" defaultColWidth="8.83203125" defaultRowHeight="15" x14ac:dyDescent="0.2"/>
  <cols>
    <col min="1" max="1" width="3.5" customWidth="1"/>
    <col min="2" max="2" width="8.83203125" customWidth="1"/>
    <col min="3" max="3" width="20.33203125" customWidth="1"/>
    <col min="4" max="4" width="16.83203125" customWidth="1"/>
    <col min="5" max="5" width="14.83203125" customWidth="1"/>
    <col min="6" max="6" width="16" customWidth="1"/>
    <col min="7" max="7" width="21" customWidth="1"/>
    <col min="8" max="8" width="28.5" customWidth="1"/>
    <col min="9" max="9" width="14.1640625" customWidth="1"/>
    <col min="10" max="10" width="14.5" customWidth="1"/>
    <col min="11" max="11" width="14.83203125" customWidth="1"/>
    <col min="12" max="12" width="12.6640625" customWidth="1"/>
    <col min="13" max="33" width="13" customWidth="1"/>
    <col min="34" max="34" width="12.33203125" customWidth="1"/>
  </cols>
  <sheetData>
    <row r="1" spans="2:12" ht="34.5" customHeight="1" x14ac:dyDescent="0.3">
      <c r="B1" s="197" t="s">
        <v>266</v>
      </c>
      <c r="E1" s="210" t="s">
        <v>265</v>
      </c>
      <c r="F1" s="200"/>
      <c r="G1" s="200"/>
    </row>
    <row r="2" spans="2:12" ht="5.25" customHeight="1" thickBot="1" x14ac:dyDescent="0.25"/>
    <row r="3" spans="2:12" ht="15" customHeight="1" thickBot="1" x14ac:dyDescent="0.25">
      <c r="E3" s="214"/>
      <c r="F3" s="200" t="s">
        <v>323</v>
      </c>
      <c r="G3" s="200"/>
      <c r="H3" s="200"/>
      <c r="I3" s="200"/>
      <c r="K3" s="200"/>
      <c r="L3" s="200"/>
    </row>
    <row r="4" spans="2:12" ht="15" customHeight="1" thickBot="1" x14ac:dyDescent="0.25">
      <c r="E4" s="213"/>
      <c r="F4" s="357" t="s">
        <v>320</v>
      </c>
      <c r="G4" s="358"/>
      <c r="H4" s="358"/>
      <c r="I4" s="358"/>
      <c r="J4" s="203"/>
      <c r="K4" s="203"/>
      <c r="L4" s="203"/>
    </row>
    <row r="5" spans="2:12" ht="15" customHeight="1" thickBot="1" x14ac:dyDescent="0.25">
      <c r="E5" s="205"/>
      <c r="F5" s="359" t="s">
        <v>321</v>
      </c>
      <c r="G5" s="360"/>
      <c r="H5" s="360"/>
      <c r="I5" s="360"/>
      <c r="L5" s="200"/>
    </row>
    <row r="6" spans="2:12" ht="14.25" customHeight="1" thickBot="1" x14ac:dyDescent="0.25">
      <c r="E6" s="206"/>
      <c r="F6" s="201" t="s">
        <v>322</v>
      </c>
      <c r="G6" s="200"/>
      <c r="H6" s="200"/>
      <c r="I6" s="200"/>
      <c r="J6" s="200"/>
      <c r="L6" s="200"/>
    </row>
    <row r="7" spans="2:12" ht="27" customHeight="1" x14ac:dyDescent="0.2">
      <c r="B7" s="199"/>
      <c r="C7" s="199"/>
      <c r="D7" s="199"/>
      <c r="E7" s="219" t="s">
        <v>284</v>
      </c>
      <c r="F7" s="199"/>
      <c r="G7" s="199"/>
    </row>
    <row r="8" spans="2:12" ht="11.25" customHeight="1" x14ac:dyDescent="0.2">
      <c r="B8" s="199"/>
      <c r="C8" s="199"/>
      <c r="D8" s="199"/>
      <c r="E8" s="202"/>
      <c r="F8" s="199"/>
      <c r="G8" s="199"/>
    </row>
    <row r="9" spans="2:12" ht="27.75" customHeight="1" x14ac:dyDescent="0.2">
      <c r="B9" s="143" t="s">
        <v>267</v>
      </c>
      <c r="C9" s="208"/>
      <c r="D9" s="208"/>
      <c r="E9" s="208"/>
      <c r="F9" s="160"/>
      <c r="G9" s="160"/>
    </row>
    <row r="10" spans="2:12" ht="18.75" customHeight="1" thickBot="1" x14ac:dyDescent="0.25">
      <c r="B10" s="293"/>
      <c r="C10" s="294"/>
      <c r="D10" s="295"/>
      <c r="E10" s="296" t="s">
        <v>10</v>
      </c>
      <c r="F10" s="296"/>
      <c r="G10" s="12" t="s">
        <v>309</v>
      </c>
      <c r="H10" s="135" t="s">
        <v>11</v>
      </c>
    </row>
    <row r="11" spans="2:12" ht="39" customHeight="1" thickBot="1" x14ac:dyDescent="0.25">
      <c r="B11" s="361" t="s">
        <v>279</v>
      </c>
      <c r="C11" s="362"/>
      <c r="D11" s="283" t="s">
        <v>351</v>
      </c>
      <c r="E11" s="297" t="s">
        <v>244</v>
      </c>
      <c r="F11" s="298"/>
      <c r="G11" s="223" t="s">
        <v>307</v>
      </c>
      <c r="H11" s="127">
        <f>IF(G11="1 = Vehicle &amp; station (default)",1,2)</f>
        <v>1</v>
      </c>
    </row>
    <row r="12" spans="2:12" ht="32.25" customHeight="1" x14ac:dyDescent="0.2">
      <c r="B12" s="354" t="s">
        <v>283</v>
      </c>
      <c r="C12" s="354"/>
      <c r="D12" s="354"/>
      <c r="E12" s="354"/>
      <c r="F12" s="354"/>
      <c r="G12" s="354"/>
      <c r="H12" s="354"/>
      <c r="I12" s="354"/>
    </row>
    <row r="13" spans="2:12" ht="18" customHeight="1" x14ac:dyDescent="0.2">
      <c r="B13" s="161"/>
      <c r="C13" s="161"/>
      <c r="D13" s="161"/>
      <c r="E13" s="161"/>
      <c r="F13" s="161"/>
      <c r="G13" s="161"/>
      <c r="H13" s="161"/>
      <c r="I13" s="161"/>
    </row>
    <row r="14" spans="2:12" ht="19.5" customHeight="1" thickBot="1" x14ac:dyDescent="0.25">
      <c r="B14" s="352"/>
      <c r="C14" s="353"/>
      <c r="D14" s="353"/>
      <c r="E14" s="296" t="s">
        <v>10</v>
      </c>
      <c r="F14" s="296"/>
      <c r="G14" s="12" t="s">
        <v>309</v>
      </c>
      <c r="H14" s="135" t="s">
        <v>11</v>
      </c>
    </row>
    <row r="15" spans="2:12" ht="46" customHeight="1" thickBot="1" x14ac:dyDescent="0.25">
      <c r="B15" s="361" t="s">
        <v>282</v>
      </c>
      <c r="C15" s="362"/>
      <c r="D15" s="284" t="s">
        <v>351</v>
      </c>
      <c r="E15" s="297" t="s">
        <v>152</v>
      </c>
      <c r="F15" s="298"/>
      <c r="G15" s="223" t="s">
        <v>308</v>
      </c>
      <c r="H15" s="220">
        <f>IF(G15="1 = Vehicle &amp; station coupled (default)",1,2)</f>
        <v>1</v>
      </c>
    </row>
    <row r="16" spans="2:12" ht="32.25" customHeight="1" x14ac:dyDescent="0.2">
      <c r="B16" s="354" t="s">
        <v>281</v>
      </c>
      <c r="C16" s="354"/>
      <c r="D16" s="354"/>
      <c r="E16" s="354"/>
      <c r="F16" s="354"/>
      <c r="G16" s="354"/>
      <c r="H16" s="354"/>
      <c r="I16" s="354"/>
    </row>
    <row r="17" spans="2:16" ht="28.5" customHeight="1" x14ac:dyDescent="0.2">
      <c r="B17" s="221" t="s">
        <v>293</v>
      </c>
      <c r="C17" s="161"/>
      <c r="D17" s="161"/>
      <c r="E17" s="161"/>
      <c r="F17" s="161"/>
      <c r="G17" s="161"/>
      <c r="H17" s="161"/>
      <c r="I17" s="161"/>
    </row>
    <row r="18" spans="2:16" ht="36.75" customHeight="1" x14ac:dyDescent="0.2">
      <c r="B18" s="356" t="s">
        <v>268</v>
      </c>
      <c r="C18" s="356"/>
      <c r="D18" s="356"/>
      <c r="E18" s="356"/>
      <c r="F18" s="161"/>
      <c r="G18" s="161"/>
      <c r="H18" s="161"/>
      <c r="I18" s="161"/>
    </row>
    <row r="19" spans="2:16" ht="22.5" customHeight="1" thickBot="1" x14ac:dyDescent="0.25">
      <c r="B19" s="352"/>
      <c r="C19" s="353"/>
      <c r="D19" s="353"/>
      <c r="E19" s="296" t="s">
        <v>10</v>
      </c>
      <c r="F19" s="296"/>
      <c r="G19" s="12" t="s">
        <v>309</v>
      </c>
      <c r="H19" s="135" t="s">
        <v>11</v>
      </c>
    </row>
    <row r="20" spans="2:16" ht="32.25" customHeight="1" thickBot="1" x14ac:dyDescent="0.25">
      <c r="B20" s="361" t="s">
        <v>280</v>
      </c>
      <c r="C20" s="362"/>
      <c r="D20" s="283" t="s">
        <v>351</v>
      </c>
      <c r="E20" s="297" t="s">
        <v>223</v>
      </c>
      <c r="F20" s="298"/>
      <c r="G20" s="215" t="s">
        <v>299</v>
      </c>
      <c r="H20" s="127" t="str">
        <f>IF(G20="Yes","Y","N")</f>
        <v>N</v>
      </c>
    </row>
    <row r="21" spans="2:16" ht="21" customHeight="1" x14ac:dyDescent="0.2">
      <c r="B21" s="204" t="s">
        <v>269</v>
      </c>
      <c r="C21" s="161"/>
      <c r="D21" s="161"/>
      <c r="E21" s="161"/>
      <c r="F21" s="161"/>
      <c r="G21" s="161"/>
      <c r="H21" s="161"/>
      <c r="I21" s="161"/>
    </row>
    <row r="22" spans="2:16" ht="18" customHeight="1" x14ac:dyDescent="0.2">
      <c r="B22" s="162"/>
      <c r="C22" s="161"/>
      <c r="D22" s="161"/>
      <c r="E22" s="161"/>
      <c r="F22" s="161"/>
      <c r="G22" s="161"/>
      <c r="H22" s="161"/>
      <c r="I22" s="161"/>
    </row>
    <row r="23" spans="2:16" ht="24" customHeight="1" x14ac:dyDescent="0.2">
      <c r="B23" s="211" t="s">
        <v>275</v>
      </c>
      <c r="C23" s="211"/>
      <c r="D23" s="211"/>
      <c r="E23" s="211"/>
      <c r="F23" s="160"/>
      <c r="G23" s="160"/>
    </row>
    <row r="24" spans="2:16" ht="23.25" customHeight="1" x14ac:dyDescent="0.2">
      <c r="B24" s="212" t="s">
        <v>377</v>
      </c>
      <c r="C24" s="208"/>
      <c r="D24" s="208"/>
      <c r="E24" s="208"/>
      <c r="F24" s="138"/>
      <c r="G24" s="138"/>
    </row>
    <row r="25" spans="2:16" ht="48" x14ac:dyDescent="0.2">
      <c r="B25" s="9" t="s">
        <v>8</v>
      </c>
      <c r="C25" s="2" t="s">
        <v>0</v>
      </c>
      <c r="D25" s="2" t="s">
        <v>310</v>
      </c>
      <c r="E25" s="2" t="s">
        <v>1</v>
      </c>
      <c r="F25" s="4" t="s">
        <v>9</v>
      </c>
      <c r="G25" s="2" t="s">
        <v>3</v>
      </c>
      <c r="H25" s="2" t="s">
        <v>357</v>
      </c>
      <c r="I25" s="2" t="s">
        <v>313</v>
      </c>
      <c r="J25" s="2" t="s">
        <v>72</v>
      </c>
      <c r="K25" s="2" t="s">
        <v>359</v>
      </c>
      <c r="L25" s="2" t="s">
        <v>174</v>
      </c>
      <c r="N25" s="174"/>
      <c r="O25" s="174"/>
      <c r="P25" s="174"/>
    </row>
    <row r="26" spans="2:16" ht="3.75" customHeight="1" thickBot="1" x14ac:dyDescent="0.25">
      <c r="B26" s="1"/>
      <c r="C26" s="6"/>
      <c r="D26" s="11"/>
      <c r="E26" s="5"/>
      <c r="F26" s="5"/>
      <c r="G26" s="3"/>
      <c r="H26" s="3"/>
      <c r="I26" s="3"/>
      <c r="J26" s="3"/>
      <c r="K26" s="7"/>
      <c r="L26" s="3"/>
      <c r="N26" s="10"/>
      <c r="O26" s="10"/>
      <c r="P26" s="10"/>
    </row>
    <row r="27" spans="2:16" ht="19" thickTop="1" thickBot="1" x14ac:dyDescent="0.25">
      <c r="B27" s="8">
        <v>1</v>
      </c>
      <c r="C27" s="249" t="s">
        <v>245</v>
      </c>
      <c r="D27" s="249" t="s">
        <v>311</v>
      </c>
      <c r="E27" s="182">
        <v>50502</v>
      </c>
      <c r="F27" s="179">
        <v>35286</v>
      </c>
      <c r="G27" s="180">
        <v>15</v>
      </c>
      <c r="H27" s="180">
        <v>3.4</v>
      </c>
      <c r="I27" s="181">
        <v>7.5999999999999998E-2</v>
      </c>
      <c r="J27" s="177">
        <f>diesel_mpg_tb-(I27*diesel_mpg_tb)</f>
        <v>3.1415999999999999</v>
      </c>
      <c r="K27" s="144">
        <f t="shared" ref="K27:K33" si="0">IF(E27&gt;40000,(40000*$G$86),(E27*$G$86))</f>
        <v>0</v>
      </c>
      <c r="L27" s="149">
        <v>0</v>
      </c>
      <c r="N27" s="10"/>
      <c r="O27" s="10"/>
      <c r="P27" s="10"/>
    </row>
    <row r="28" spans="2:16" ht="19" thickTop="1" thickBot="1" x14ac:dyDescent="0.25">
      <c r="B28" s="8">
        <v>2</v>
      </c>
      <c r="C28" s="249" t="s">
        <v>246</v>
      </c>
      <c r="D28" s="249" t="s">
        <v>311</v>
      </c>
      <c r="E28" s="182">
        <v>31376</v>
      </c>
      <c r="F28" s="179">
        <v>12000</v>
      </c>
      <c r="G28" s="180">
        <v>15</v>
      </c>
      <c r="H28" s="180">
        <v>7</v>
      </c>
      <c r="I28" s="181">
        <v>0.125</v>
      </c>
      <c r="J28" s="177">
        <f>diesel_mpg_sb-(I28*diesel_mpg_sb)</f>
        <v>6.125</v>
      </c>
      <c r="K28" s="144">
        <f t="shared" si="0"/>
        <v>0</v>
      </c>
      <c r="L28" s="149">
        <v>0</v>
      </c>
    </row>
    <row r="29" spans="2:16" ht="19" thickTop="1" thickBot="1" x14ac:dyDescent="0.25">
      <c r="B29" s="8">
        <v>3</v>
      </c>
      <c r="C29" s="249" t="s">
        <v>247</v>
      </c>
      <c r="D29" s="249" t="s">
        <v>311</v>
      </c>
      <c r="E29" s="182">
        <v>30295</v>
      </c>
      <c r="F29" s="179">
        <v>25000</v>
      </c>
      <c r="G29" s="180">
        <v>12</v>
      </c>
      <c r="H29" s="180">
        <v>2.8</v>
      </c>
      <c r="I29" s="181">
        <v>0.105</v>
      </c>
      <c r="J29" s="177">
        <f>diesel_mpg_tt-(I29*diesel_mpg_tt)</f>
        <v>2.5059999999999998</v>
      </c>
      <c r="K29" s="144">
        <f t="shared" si="0"/>
        <v>0</v>
      </c>
      <c r="L29" s="149">
        <v>0</v>
      </c>
    </row>
    <row r="30" spans="2:16" ht="19" thickTop="1" thickBot="1" x14ac:dyDescent="0.25">
      <c r="B30" s="8">
        <v>4</v>
      </c>
      <c r="C30" s="249" t="s">
        <v>248</v>
      </c>
      <c r="D30" s="249" t="s">
        <v>312</v>
      </c>
      <c r="E30" s="182">
        <v>17500</v>
      </c>
      <c r="F30" s="179">
        <v>24680</v>
      </c>
      <c r="G30" s="180">
        <v>3.6</v>
      </c>
      <c r="H30" s="207">
        <v>6.6</v>
      </c>
      <c r="I30" s="181">
        <v>5.2999999999999999E-2</v>
      </c>
      <c r="J30" s="177">
        <f>gasoline_mpg_ps-(I30*gasoline_mpg_ps)</f>
        <v>6.2501999999999995</v>
      </c>
      <c r="K30" s="144">
        <f t="shared" si="0"/>
        <v>0</v>
      </c>
      <c r="L30" s="150">
        <v>0</v>
      </c>
    </row>
    <row r="31" spans="2:16" ht="19" thickTop="1" thickBot="1" x14ac:dyDescent="0.25">
      <c r="B31" s="8">
        <v>5</v>
      </c>
      <c r="C31" s="249" t="s">
        <v>249</v>
      </c>
      <c r="D31" s="249" t="s">
        <v>312</v>
      </c>
      <c r="E31" s="182">
        <v>15000</v>
      </c>
      <c r="F31" s="179">
        <v>13469</v>
      </c>
      <c r="G31" s="180">
        <v>6.5</v>
      </c>
      <c r="H31" s="207">
        <v>6.6</v>
      </c>
      <c r="I31" s="181">
        <v>5.2999999999999999E-2</v>
      </c>
      <c r="J31" s="177">
        <f>gasoline_mpg_dt-(I31*gasoline_mpg_dt)</f>
        <v>6.2501999999999995</v>
      </c>
      <c r="K31" s="144">
        <f t="shared" si="0"/>
        <v>0</v>
      </c>
      <c r="L31" s="150">
        <v>0</v>
      </c>
      <c r="N31" s="10"/>
      <c r="O31" s="10"/>
      <c r="P31" s="10"/>
    </row>
    <row r="32" spans="2:16" ht="20" thickTop="1" thickBot="1" x14ac:dyDescent="0.25">
      <c r="B32" s="8">
        <v>6</v>
      </c>
      <c r="C32" s="250" t="s">
        <v>250</v>
      </c>
      <c r="D32" s="249" t="s">
        <v>312</v>
      </c>
      <c r="E32" s="182">
        <v>10000</v>
      </c>
      <c r="F32" s="179">
        <v>13401</v>
      </c>
      <c r="G32" s="180">
        <v>7.4</v>
      </c>
      <c r="H32" s="207">
        <v>13.9</v>
      </c>
      <c r="I32" s="181">
        <v>5.2999999999999999E-2</v>
      </c>
      <c r="J32" s="177">
        <f>gasoline_mpg_pu-(I32*gasoline_mpg_pu)</f>
        <v>13.1633</v>
      </c>
      <c r="K32" s="144">
        <f t="shared" si="0"/>
        <v>0</v>
      </c>
      <c r="L32" s="150">
        <v>0</v>
      </c>
      <c r="N32" s="10"/>
      <c r="O32" s="10"/>
      <c r="P32" s="10"/>
    </row>
    <row r="33" spans="2:39" ht="19" thickTop="1" thickBot="1" x14ac:dyDescent="0.25">
      <c r="B33" s="8">
        <v>7</v>
      </c>
      <c r="C33" s="249" t="s">
        <v>251</v>
      </c>
      <c r="D33" s="249" t="s">
        <v>312</v>
      </c>
      <c r="E33" s="182">
        <v>8000</v>
      </c>
      <c r="F33" s="179">
        <v>56620</v>
      </c>
      <c r="G33" s="180">
        <v>7.4</v>
      </c>
      <c r="H33" s="207">
        <v>16.5</v>
      </c>
      <c r="I33" s="181">
        <v>5.2999999999999999E-2</v>
      </c>
      <c r="J33" s="192">
        <f>gasoline_mpg_pc-(I33*gasoline_mpg_pc)</f>
        <v>15.625500000000001</v>
      </c>
      <c r="K33" s="193">
        <f t="shared" si="0"/>
        <v>0</v>
      </c>
      <c r="L33" s="194">
        <v>0</v>
      </c>
      <c r="N33" s="10"/>
      <c r="O33" s="10"/>
      <c r="P33" s="10"/>
    </row>
    <row r="34" spans="2:39" ht="16" thickTop="1" x14ac:dyDescent="0.2">
      <c r="B34" s="10"/>
      <c r="C34" s="103"/>
      <c r="D34" s="184"/>
      <c r="E34" s="185"/>
      <c r="F34" s="186"/>
      <c r="G34" s="187"/>
      <c r="H34" s="190"/>
      <c r="I34" s="191"/>
      <c r="J34" s="178"/>
      <c r="K34" s="183"/>
      <c r="L34" s="188"/>
      <c r="N34" s="10"/>
      <c r="O34" s="10"/>
      <c r="P34" s="10"/>
    </row>
    <row r="35" spans="2:39" x14ac:dyDescent="0.2">
      <c r="B35" s="106" t="s">
        <v>220</v>
      </c>
      <c r="C35" s="103"/>
      <c r="D35" s="184"/>
      <c r="E35" s="185"/>
      <c r="F35" s="186"/>
      <c r="G35" s="187"/>
      <c r="H35" s="190"/>
      <c r="I35" s="191"/>
      <c r="J35" s="178"/>
      <c r="K35" s="183"/>
      <c r="L35" s="188"/>
      <c r="N35" s="10"/>
      <c r="O35" s="10"/>
      <c r="P35" s="10"/>
    </row>
    <row r="36" spans="2:39" x14ac:dyDescent="0.2">
      <c r="B36" s="106" t="s">
        <v>262</v>
      </c>
      <c r="C36" s="103"/>
      <c r="D36" s="184"/>
      <c r="E36" s="185"/>
      <c r="F36" s="186"/>
      <c r="G36" s="187"/>
      <c r="H36" s="190"/>
      <c r="I36" s="191"/>
      <c r="J36" s="178"/>
      <c r="K36" s="183"/>
      <c r="L36" s="188"/>
      <c r="N36" s="10"/>
      <c r="O36" s="10"/>
      <c r="P36" s="10"/>
    </row>
    <row r="37" spans="2:39" x14ac:dyDescent="0.2">
      <c r="B37" s="106" t="s">
        <v>142</v>
      </c>
      <c r="C37" s="103"/>
      <c r="D37" s="184"/>
      <c r="E37" s="185"/>
      <c r="F37" s="186"/>
      <c r="G37" s="187"/>
      <c r="H37" s="190"/>
      <c r="I37" s="191"/>
      <c r="J37" s="178"/>
      <c r="K37" s="183"/>
      <c r="L37" s="188"/>
      <c r="N37" s="10"/>
      <c r="O37" s="10"/>
      <c r="P37" s="10"/>
    </row>
    <row r="38" spans="2:39" x14ac:dyDescent="0.2">
      <c r="B38" s="76" t="s">
        <v>143</v>
      </c>
      <c r="C38" s="103"/>
      <c r="D38" s="184"/>
      <c r="E38" s="185"/>
      <c r="F38" s="186"/>
      <c r="G38" s="187"/>
      <c r="H38" s="190"/>
      <c r="I38" s="191"/>
      <c r="J38" s="178"/>
      <c r="K38" s="183"/>
      <c r="L38" s="188"/>
      <c r="N38" s="10"/>
      <c r="O38" s="10"/>
      <c r="P38" s="10"/>
    </row>
    <row r="39" spans="2:39" x14ac:dyDescent="0.2">
      <c r="B39" s="76" t="s">
        <v>144</v>
      </c>
      <c r="C39" s="103"/>
      <c r="D39" s="184"/>
      <c r="E39" s="185"/>
      <c r="F39" s="186"/>
      <c r="G39" s="187"/>
      <c r="H39" s="190"/>
      <c r="I39" s="191"/>
      <c r="J39" s="178"/>
      <c r="K39" s="183"/>
      <c r="L39" s="188"/>
      <c r="N39" s="10"/>
      <c r="O39" s="10"/>
      <c r="P39" s="10"/>
    </row>
    <row r="40" spans="2:39" x14ac:dyDescent="0.2">
      <c r="B40" s="76" t="s">
        <v>145</v>
      </c>
      <c r="C40" s="103"/>
      <c r="D40" s="184"/>
      <c r="E40" s="185"/>
      <c r="F40" s="186"/>
      <c r="G40" s="187"/>
      <c r="H40" s="190"/>
      <c r="I40" s="191"/>
      <c r="J40" s="178"/>
      <c r="K40" s="183"/>
      <c r="L40" s="188"/>
      <c r="N40" s="10"/>
      <c r="O40" s="10"/>
      <c r="P40" s="10"/>
    </row>
    <row r="41" spans="2:39" x14ac:dyDescent="0.2">
      <c r="B41" s="76" t="s">
        <v>146</v>
      </c>
      <c r="C41" s="103"/>
      <c r="D41" s="184"/>
      <c r="E41" s="185"/>
      <c r="F41" s="186"/>
      <c r="G41" s="187"/>
      <c r="H41" s="190"/>
      <c r="I41" s="191"/>
      <c r="J41" s="178"/>
      <c r="K41" s="183"/>
      <c r="L41" s="188"/>
      <c r="N41" s="10"/>
      <c r="O41" s="10"/>
      <c r="P41" s="10"/>
    </row>
    <row r="42" spans="2:39" x14ac:dyDescent="0.2">
      <c r="B42" s="76" t="s">
        <v>147</v>
      </c>
      <c r="C42" s="103"/>
      <c r="D42" s="184"/>
      <c r="E42" s="185"/>
      <c r="F42" s="186"/>
      <c r="G42" s="187"/>
      <c r="H42" s="190"/>
      <c r="I42" s="191"/>
      <c r="J42" s="178"/>
      <c r="K42" s="183"/>
      <c r="L42" s="188"/>
      <c r="N42" s="10"/>
      <c r="O42" s="10"/>
      <c r="P42" s="10"/>
    </row>
    <row r="43" spans="2:39" x14ac:dyDescent="0.2">
      <c r="B43" s="189" t="s">
        <v>148</v>
      </c>
      <c r="C43" s="103"/>
      <c r="D43" s="184"/>
      <c r="E43" s="185"/>
      <c r="F43" s="186"/>
      <c r="G43" s="187"/>
      <c r="H43" s="190"/>
      <c r="I43" s="191"/>
      <c r="J43" s="178"/>
      <c r="K43" s="183"/>
      <c r="L43" s="188"/>
      <c r="N43" s="10"/>
      <c r="O43" s="10"/>
      <c r="P43" s="10"/>
    </row>
    <row r="44" spans="2:39" x14ac:dyDescent="0.2">
      <c r="B44" s="10"/>
      <c r="C44" s="103"/>
      <c r="D44" s="184"/>
      <c r="E44" s="185"/>
      <c r="F44" s="186"/>
      <c r="G44" s="187"/>
      <c r="H44" s="190"/>
      <c r="I44" s="191"/>
      <c r="J44" s="178"/>
      <c r="K44" s="183"/>
      <c r="L44" s="188"/>
      <c r="N44" s="10"/>
      <c r="O44" s="10"/>
      <c r="P44" s="10"/>
    </row>
    <row r="45" spans="2:39" ht="30" customHeight="1" x14ac:dyDescent="0.2">
      <c r="B45" s="143" t="s">
        <v>360</v>
      </c>
      <c r="C45" s="143"/>
      <c r="D45" s="137"/>
      <c r="E45" s="137"/>
    </row>
    <row r="46" spans="2:39" ht="15.75" customHeight="1" thickBot="1" x14ac:dyDescent="0.25">
      <c r="B46" s="310" t="s">
        <v>224</v>
      </c>
      <c r="C46" s="311"/>
      <c r="D46" s="312"/>
      <c r="E46" s="296" t="s">
        <v>10</v>
      </c>
      <c r="F46" s="296"/>
      <c r="G46" s="12" t="s">
        <v>11</v>
      </c>
      <c r="H46" s="135" t="s">
        <v>12</v>
      </c>
      <c r="I46" s="12" t="s">
        <v>13</v>
      </c>
      <c r="J46" s="363" t="s">
        <v>252</v>
      </c>
      <c r="K46" s="364"/>
      <c r="L46" s="364"/>
      <c r="M46" s="364"/>
      <c r="N46" s="364"/>
      <c r="AI46" s="10"/>
      <c r="AJ46" s="10"/>
      <c r="AK46" s="10"/>
      <c r="AL46" s="10"/>
      <c r="AM46" s="10"/>
    </row>
    <row r="47" spans="2:39" ht="15.75" customHeight="1" thickTop="1" thickBot="1" x14ac:dyDescent="0.25">
      <c r="B47" s="321" t="s">
        <v>53</v>
      </c>
      <c r="C47" s="321"/>
      <c r="D47" s="321"/>
      <c r="E47" s="307" t="s">
        <v>54</v>
      </c>
      <c r="F47" s="288"/>
      <c r="G47" s="225">
        <v>0.2</v>
      </c>
      <c r="H47" s="128" t="s">
        <v>55</v>
      </c>
      <c r="I47" s="19">
        <v>0.2</v>
      </c>
      <c r="J47" s="365"/>
      <c r="K47" s="366"/>
      <c r="L47" s="366"/>
      <c r="M47" s="366"/>
      <c r="N47" s="366"/>
      <c r="AI47" s="10"/>
      <c r="AJ47" s="10"/>
      <c r="AK47" s="10"/>
      <c r="AL47" s="10"/>
      <c r="AM47" s="10"/>
    </row>
    <row r="48" spans="2:39" ht="15.75" customHeight="1" thickTop="1" thickBot="1" x14ac:dyDescent="0.25">
      <c r="B48" s="290" t="s">
        <v>177</v>
      </c>
      <c r="C48" s="325"/>
      <c r="D48" s="325"/>
      <c r="E48" s="307" t="s">
        <v>191</v>
      </c>
      <c r="F48" s="288"/>
      <c r="G48" s="158">
        <v>0</v>
      </c>
      <c r="H48" s="129" t="s">
        <v>204</v>
      </c>
      <c r="I48" s="20">
        <v>4166.6666666666697</v>
      </c>
      <c r="AI48" s="10"/>
      <c r="AJ48" s="10"/>
      <c r="AK48" s="10"/>
      <c r="AL48" s="10"/>
      <c r="AM48" s="10"/>
    </row>
    <row r="49" spans="2:39" ht="15.75" hidden="1" customHeight="1" thickTop="1" thickBot="1" x14ac:dyDescent="0.25">
      <c r="B49" s="314" t="s">
        <v>194</v>
      </c>
      <c r="C49" s="315"/>
      <c r="D49" s="316"/>
      <c r="E49" s="299" t="s">
        <v>198</v>
      </c>
      <c r="F49" s="300"/>
      <c r="G49" s="226">
        <v>38.151000000000003</v>
      </c>
      <c r="H49" s="227" t="s">
        <v>205</v>
      </c>
      <c r="I49" s="228">
        <v>38.151000000000003</v>
      </c>
      <c r="AI49" s="10"/>
      <c r="AJ49" s="10"/>
      <c r="AK49" s="10"/>
      <c r="AL49" s="10"/>
      <c r="AM49" s="10"/>
    </row>
    <row r="50" spans="2:39" ht="15.75" hidden="1" customHeight="1" thickTop="1" thickBot="1" x14ac:dyDescent="0.25">
      <c r="B50" s="314" t="s">
        <v>195</v>
      </c>
      <c r="C50" s="315"/>
      <c r="D50" s="316"/>
      <c r="E50" s="299" t="s">
        <v>199</v>
      </c>
      <c r="F50" s="300"/>
      <c r="G50" s="229">
        <v>279523</v>
      </c>
      <c r="H50" s="227" t="s">
        <v>22</v>
      </c>
      <c r="I50" s="230">
        <v>279523</v>
      </c>
      <c r="AI50" s="10"/>
      <c r="AJ50" s="10"/>
      <c r="AK50" s="10"/>
      <c r="AL50" s="10"/>
      <c r="AM50" s="10"/>
    </row>
    <row r="51" spans="2:39" ht="15.75" hidden="1" customHeight="1" thickTop="1" thickBot="1" x14ac:dyDescent="0.25">
      <c r="B51" s="314" t="s">
        <v>202</v>
      </c>
      <c r="C51" s="315"/>
      <c r="D51" s="316"/>
      <c r="E51" s="299" t="s">
        <v>203</v>
      </c>
      <c r="F51" s="300"/>
      <c r="G51" s="229">
        <v>400000</v>
      </c>
      <c r="H51" s="227" t="s">
        <v>22</v>
      </c>
      <c r="I51" s="230">
        <v>400000</v>
      </c>
      <c r="AI51" s="10"/>
      <c r="AJ51" s="10"/>
      <c r="AK51" s="10"/>
      <c r="AL51" s="10"/>
      <c r="AM51" s="10"/>
    </row>
    <row r="52" spans="2:39" ht="15.75" hidden="1" customHeight="1" thickTop="1" thickBot="1" x14ac:dyDescent="0.25">
      <c r="B52" s="314" t="s">
        <v>196</v>
      </c>
      <c r="C52" s="315"/>
      <c r="D52" s="316"/>
      <c r="E52" s="299" t="s">
        <v>200</v>
      </c>
      <c r="F52" s="300"/>
      <c r="G52" s="226">
        <v>115.89</v>
      </c>
      <c r="H52" s="227" t="s">
        <v>205</v>
      </c>
      <c r="I52" s="228">
        <v>115.89</v>
      </c>
      <c r="AI52" s="10"/>
      <c r="AJ52" s="10"/>
      <c r="AK52" s="10"/>
      <c r="AL52" s="10"/>
      <c r="AM52" s="10"/>
    </row>
    <row r="53" spans="2:39" ht="15.75" hidden="1" customHeight="1" thickTop="1" thickBot="1" x14ac:dyDescent="0.25">
      <c r="B53" s="314" t="s">
        <v>197</v>
      </c>
      <c r="C53" s="315"/>
      <c r="D53" s="316"/>
      <c r="E53" s="299" t="s">
        <v>201</v>
      </c>
      <c r="F53" s="300"/>
      <c r="G53" s="229">
        <v>35952</v>
      </c>
      <c r="H53" s="227" t="s">
        <v>22</v>
      </c>
      <c r="I53" s="230">
        <v>35952</v>
      </c>
      <c r="AI53" s="10"/>
      <c r="AJ53" s="10"/>
      <c r="AK53" s="10"/>
      <c r="AL53" s="10"/>
      <c r="AM53" s="10"/>
    </row>
    <row r="54" spans="2:39" ht="15.75" customHeight="1" thickTop="1" thickBot="1" x14ac:dyDescent="0.25">
      <c r="B54" s="290" t="s">
        <v>178</v>
      </c>
      <c r="C54" s="290"/>
      <c r="D54" s="290"/>
      <c r="E54" s="288" t="s">
        <v>181</v>
      </c>
      <c r="F54" s="313"/>
      <c r="G54" s="159">
        <v>0</v>
      </c>
      <c r="H54" s="128" t="s">
        <v>179</v>
      </c>
      <c r="I54" s="108">
        <v>0</v>
      </c>
      <c r="J54" s="80" t="s">
        <v>259</v>
      </c>
      <c r="AI54" s="10"/>
      <c r="AJ54" s="10"/>
      <c r="AK54" s="10"/>
      <c r="AL54" s="10"/>
      <c r="AM54" s="10"/>
    </row>
    <row r="55" spans="2:39" ht="15.75" customHeight="1" thickTop="1" thickBot="1" x14ac:dyDescent="0.25">
      <c r="B55" s="290" t="s">
        <v>180</v>
      </c>
      <c r="C55" s="290"/>
      <c r="D55" s="290"/>
      <c r="E55" s="288" t="s">
        <v>182</v>
      </c>
      <c r="F55" s="313"/>
      <c r="G55" s="130">
        <v>30000</v>
      </c>
      <c r="H55" s="128" t="s">
        <v>22</v>
      </c>
      <c r="I55" s="20">
        <v>30000</v>
      </c>
      <c r="AI55" s="10"/>
      <c r="AJ55" s="10"/>
      <c r="AK55" s="10"/>
      <c r="AL55" s="10"/>
      <c r="AM55" s="10"/>
    </row>
    <row r="56" spans="2:39" ht="15.75" customHeight="1" thickTop="1" x14ac:dyDescent="0.2">
      <c r="B56" s="290" t="s">
        <v>190</v>
      </c>
      <c r="C56" s="290"/>
      <c r="D56" s="290"/>
      <c r="E56" s="288" t="s">
        <v>183</v>
      </c>
      <c r="F56" s="289"/>
      <c r="G56" s="136">
        <f>IF('Financial Calculations'!E9&gt;(infra_tax_credit_cap/(infra_tax_credit_rate+0.000000001)),infra_tax_credit_cap,('Financial Calculations'!E9*infra_tax_credit_rate))</f>
        <v>0</v>
      </c>
      <c r="H56" s="140" t="s">
        <v>22</v>
      </c>
      <c r="I56" s="141" t="s">
        <v>206</v>
      </c>
      <c r="AI56" s="10"/>
      <c r="AJ56" s="10"/>
      <c r="AK56" s="10"/>
      <c r="AL56" s="10"/>
      <c r="AM56" s="10"/>
    </row>
    <row r="57" spans="2:39" ht="17" thickBot="1" x14ac:dyDescent="0.25">
      <c r="B57" s="310" t="s">
        <v>226</v>
      </c>
      <c r="C57" s="311"/>
      <c r="D57" s="312"/>
      <c r="E57" s="372"/>
      <c r="F57" s="373"/>
      <c r="G57" s="373"/>
      <c r="H57" s="373"/>
      <c r="I57" s="374"/>
    </row>
    <row r="58" spans="2:39" ht="17" thickTop="1" thickBot="1" x14ac:dyDescent="0.25">
      <c r="B58" s="320" t="s">
        <v>32</v>
      </c>
      <c r="C58" s="320"/>
      <c r="D58" s="320"/>
      <c r="E58" s="307" t="s">
        <v>33</v>
      </c>
      <c r="F58" s="288"/>
      <c r="G58" s="172">
        <v>0</v>
      </c>
      <c r="H58" s="129" t="s">
        <v>175</v>
      </c>
      <c r="I58" s="16">
        <v>0</v>
      </c>
      <c r="J58" s="80" t="s">
        <v>253</v>
      </c>
    </row>
    <row r="59" spans="2:39" ht="16" thickBot="1" x14ac:dyDescent="0.25">
      <c r="B59" s="301" t="s">
        <v>241</v>
      </c>
      <c r="C59" s="302"/>
      <c r="D59" s="303"/>
      <c r="E59" s="288" t="s">
        <v>242</v>
      </c>
      <c r="F59" s="313"/>
      <c r="G59" s="171">
        <f>IF(Tax_Status="y", Excise_Tax_Credit,0)</f>
        <v>0</v>
      </c>
      <c r="H59" s="129" t="s">
        <v>175</v>
      </c>
      <c r="I59" s="173" t="s">
        <v>206</v>
      </c>
    </row>
    <row r="60" spans="2:39" ht="17" thickTop="1" thickBot="1" x14ac:dyDescent="0.25">
      <c r="B60" s="319" t="s">
        <v>27</v>
      </c>
      <c r="C60" s="320"/>
      <c r="D60" s="320"/>
      <c r="E60" s="307" t="s">
        <v>28</v>
      </c>
      <c r="F60" s="288"/>
      <c r="G60" s="217">
        <v>2.09</v>
      </c>
      <c r="H60" s="129" t="s">
        <v>175</v>
      </c>
      <c r="I60" s="14">
        <v>2.09</v>
      </c>
      <c r="J60" s="80" t="s">
        <v>254</v>
      </c>
    </row>
    <row r="61" spans="2:39" ht="17" thickTop="1" thickBot="1" x14ac:dyDescent="0.25">
      <c r="B61" s="320" t="s">
        <v>29</v>
      </c>
      <c r="C61" s="320"/>
      <c r="D61" s="320"/>
      <c r="E61" s="307" t="s">
        <v>30</v>
      </c>
      <c r="F61" s="288"/>
      <c r="G61" s="153">
        <v>2.7E-2</v>
      </c>
      <c r="H61" s="128" t="s">
        <v>31</v>
      </c>
      <c r="I61" s="15">
        <v>2.7E-2</v>
      </c>
      <c r="J61" s="80" t="s">
        <v>258</v>
      </c>
    </row>
    <row r="62" spans="2:39" ht="17" thickTop="1" thickBot="1" x14ac:dyDescent="0.25">
      <c r="B62" s="301" t="s">
        <v>216</v>
      </c>
      <c r="C62" s="302"/>
      <c r="D62" s="303"/>
      <c r="E62" s="288" t="s">
        <v>160</v>
      </c>
      <c r="F62" s="313"/>
      <c r="G62" s="154">
        <v>22.5</v>
      </c>
      <c r="H62" s="129" t="s">
        <v>161</v>
      </c>
      <c r="I62" s="104" t="s">
        <v>163</v>
      </c>
      <c r="J62" s="80" t="s">
        <v>261</v>
      </c>
    </row>
    <row r="63" spans="2:39" ht="17" thickTop="1" thickBot="1" x14ac:dyDescent="0.25">
      <c r="B63" s="320" t="s">
        <v>36</v>
      </c>
      <c r="C63" s="320"/>
      <c r="D63" s="320"/>
      <c r="E63" s="307" t="s">
        <v>37</v>
      </c>
      <c r="F63" s="288"/>
      <c r="G63" s="218">
        <v>3.91</v>
      </c>
      <c r="H63" s="128" t="s">
        <v>38</v>
      </c>
      <c r="I63" s="18">
        <v>3.93</v>
      </c>
      <c r="J63" s="80" t="s">
        <v>254</v>
      </c>
    </row>
    <row r="64" spans="2:39" ht="17" thickTop="1" thickBot="1" x14ac:dyDescent="0.25">
      <c r="B64" s="321" t="s">
        <v>39</v>
      </c>
      <c r="C64" s="321"/>
      <c r="D64" s="321"/>
      <c r="E64" s="307" t="s">
        <v>40</v>
      </c>
      <c r="F64" s="288"/>
      <c r="G64" s="156">
        <v>2.5000000000000001E-2</v>
      </c>
      <c r="H64" s="128" t="s">
        <v>41</v>
      </c>
      <c r="I64" s="15">
        <v>2.5000000000000001E-2</v>
      </c>
      <c r="J64" s="80" t="s">
        <v>258</v>
      </c>
    </row>
    <row r="65" spans="2:10" ht="17" thickTop="1" thickBot="1" x14ac:dyDescent="0.25">
      <c r="B65" s="301" t="s">
        <v>237</v>
      </c>
      <c r="C65" s="302"/>
      <c r="D65" s="303"/>
      <c r="E65" s="288" t="s">
        <v>239</v>
      </c>
      <c r="F65" s="304"/>
      <c r="G65" s="168">
        <v>0.24399999999999999</v>
      </c>
      <c r="H65" s="128" t="s">
        <v>43</v>
      </c>
      <c r="I65" s="169">
        <v>0.24399999999999999</v>
      </c>
      <c r="J65" s="80" t="s">
        <v>318</v>
      </c>
    </row>
    <row r="66" spans="2:10" ht="17" thickTop="1" thickBot="1" x14ac:dyDescent="0.25">
      <c r="B66" s="301" t="s">
        <v>238</v>
      </c>
      <c r="C66" s="302"/>
      <c r="D66" s="303"/>
      <c r="E66" s="288" t="s">
        <v>240</v>
      </c>
      <c r="F66" s="304"/>
      <c r="G66" s="168">
        <v>0.19500000000000001</v>
      </c>
      <c r="H66" s="128" t="s">
        <v>43</v>
      </c>
      <c r="I66" s="169">
        <v>0.19500000000000001</v>
      </c>
      <c r="J66" s="80" t="s">
        <v>318</v>
      </c>
    </row>
    <row r="67" spans="2:10" ht="16" hidden="1" thickTop="1" x14ac:dyDescent="0.2">
      <c r="B67" s="322" t="s">
        <v>228</v>
      </c>
      <c r="C67" s="321"/>
      <c r="D67" s="321"/>
      <c r="E67" s="288" t="s">
        <v>229</v>
      </c>
      <c r="F67" s="313"/>
      <c r="G67" s="170">
        <f>Fed_Diesel_tax+State_Diesel_Tax</f>
        <v>0.439</v>
      </c>
      <c r="H67" s="128" t="s">
        <v>43</v>
      </c>
      <c r="I67" s="141" t="s">
        <v>206</v>
      </c>
    </row>
    <row r="68" spans="2:10" ht="17" thickTop="1" thickBot="1" x14ac:dyDescent="0.25">
      <c r="B68" s="322" t="s">
        <v>243</v>
      </c>
      <c r="C68" s="321"/>
      <c r="D68" s="321"/>
      <c r="E68" s="307" t="s">
        <v>42</v>
      </c>
      <c r="F68" s="288"/>
      <c r="G68" s="171">
        <f>IF(Tax_Status="y", Diesel_Excise_Exempt,0)</f>
        <v>0</v>
      </c>
      <c r="H68" s="128" t="s">
        <v>43</v>
      </c>
      <c r="I68" s="141" t="s">
        <v>206</v>
      </c>
    </row>
    <row r="69" spans="2:10" ht="17" thickTop="1" thickBot="1" x14ac:dyDescent="0.25">
      <c r="B69" s="321" t="s">
        <v>44</v>
      </c>
      <c r="C69" s="321"/>
      <c r="D69" s="321"/>
      <c r="E69" s="307" t="s">
        <v>45</v>
      </c>
      <c r="F69" s="288"/>
      <c r="G69" s="157">
        <v>0.90400000000000003</v>
      </c>
      <c r="H69" s="128" t="s">
        <v>46</v>
      </c>
      <c r="I69" s="252">
        <v>0.90400000000000003</v>
      </c>
    </row>
    <row r="70" spans="2:10" ht="17" thickTop="1" thickBot="1" x14ac:dyDescent="0.25">
      <c r="B70" s="301" t="s">
        <v>217</v>
      </c>
      <c r="C70" s="302"/>
      <c r="D70" s="303"/>
      <c r="E70" s="288" t="s">
        <v>162</v>
      </c>
      <c r="F70" s="313"/>
      <c r="G70" s="154">
        <v>25.4</v>
      </c>
      <c r="H70" s="129" t="s">
        <v>161</v>
      </c>
      <c r="I70" s="104" t="s">
        <v>164</v>
      </c>
      <c r="J70" s="80" t="s">
        <v>261</v>
      </c>
    </row>
    <row r="71" spans="2:10" ht="17" thickTop="1" thickBot="1" x14ac:dyDescent="0.25">
      <c r="B71" s="321" t="s">
        <v>48</v>
      </c>
      <c r="C71" s="321"/>
      <c r="D71" s="321"/>
      <c r="E71" s="307" t="s">
        <v>49</v>
      </c>
      <c r="F71" s="288"/>
      <c r="G71" s="218">
        <v>3.45</v>
      </c>
      <c r="H71" s="128" t="s">
        <v>38</v>
      </c>
      <c r="I71" s="21">
        <v>3.45</v>
      </c>
      <c r="J71" s="80" t="s">
        <v>254</v>
      </c>
    </row>
    <row r="72" spans="2:10" ht="17" thickTop="1" thickBot="1" x14ac:dyDescent="0.25">
      <c r="B72" s="321" t="s">
        <v>50</v>
      </c>
      <c r="C72" s="321"/>
      <c r="D72" s="321"/>
      <c r="E72" s="307" t="s">
        <v>51</v>
      </c>
      <c r="F72" s="288"/>
      <c r="G72" s="156">
        <v>2.1000000000000001E-2</v>
      </c>
      <c r="H72" s="128" t="s">
        <v>41</v>
      </c>
      <c r="I72" s="22">
        <v>2.1000000000000001E-2</v>
      </c>
      <c r="J72" s="80" t="s">
        <v>258</v>
      </c>
    </row>
    <row r="73" spans="2:10" ht="16.5" customHeight="1" thickTop="1" thickBot="1" x14ac:dyDescent="0.25">
      <c r="B73" s="301" t="s">
        <v>233</v>
      </c>
      <c r="C73" s="302"/>
      <c r="D73" s="303"/>
      <c r="E73" s="288" t="s">
        <v>235</v>
      </c>
      <c r="F73" s="304"/>
      <c r="G73" s="168">
        <v>0.184</v>
      </c>
      <c r="H73" s="128" t="s">
        <v>43</v>
      </c>
      <c r="I73" s="169">
        <v>0.184</v>
      </c>
      <c r="J73" s="80" t="s">
        <v>257</v>
      </c>
    </row>
    <row r="74" spans="2:10" ht="17" thickTop="1" thickBot="1" x14ac:dyDescent="0.25">
      <c r="B74" s="301" t="s">
        <v>234</v>
      </c>
      <c r="C74" s="302"/>
      <c r="D74" s="303"/>
      <c r="E74" s="288" t="s">
        <v>236</v>
      </c>
      <c r="F74" s="304"/>
      <c r="G74" s="168">
        <v>0.214</v>
      </c>
      <c r="H74" s="128" t="s">
        <v>43</v>
      </c>
      <c r="I74" s="169">
        <v>0.214</v>
      </c>
      <c r="J74" s="80" t="s">
        <v>257</v>
      </c>
    </row>
    <row r="75" spans="2:10" ht="16" hidden="1" thickTop="1" x14ac:dyDescent="0.2">
      <c r="B75" s="322" t="s">
        <v>232</v>
      </c>
      <c r="C75" s="321"/>
      <c r="D75" s="321"/>
      <c r="E75" s="288" t="s">
        <v>231</v>
      </c>
      <c r="F75" s="313"/>
      <c r="G75" s="170">
        <f>Fed_Gas_tax+State_Gas_Tax</f>
        <v>0.39800000000000002</v>
      </c>
      <c r="H75" s="128" t="s">
        <v>43</v>
      </c>
      <c r="I75" s="141" t="s">
        <v>206</v>
      </c>
    </row>
    <row r="76" spans="2:10" ht="17" thickTop="1" thickBot="1" x14ac:dyDescent="0.25">
      <c r="B76" s="322" t="s">
        <v>230</v>
      </c>
      <c r="C76" s="321"/>
      <c r="D76" s="321"/>
      <c r="E76" s="307" t="s">
        <v>52</v>
      </c>
      <c r="F76" s="288"/>
      <c r="G76" s="171">
        <f>IF(Tax_Status="y", Gasoline__Excise_Exempt,0)</f>
        <v>0</v>
      </c>
      <c r="H76" s="128" t="s">
        <v>43</v>
      </c>
      <c r="I76" s="141" t="s">
        <v>206</v>
      </c>
    </row>
    <row r="77" spans="2:10" ht="17" thickTop="1" thickBot="1" x14ac:dyDescent="0.25">
      <c r="B77" s="301" t="s">
        <v>218</v>
      </c>
      <c r="C77" s="302"/>
      <c r="D77" s="303"/>
      <c r="E77" s="288" t="s">
        <v>165</v>
      </c>
      <c r="F77" s="313"/>
      <c r="G77" s="154">
        <v>25.4</v>
      </c>
      <c r="H77" s="129" t="s">
        <v>161</v>
      </c>
      <c r="I77" s="104" t="s">
        <v>166</v>
      </c>
      <c r="J77" s="80" t="s">
        <v>261</v>
      </c>
    </row>
    <row r="78" spans="2:10" ht="18" thickTop="1" thickBot="1" x14ac:dyDescent="0.25">
      <c r="B78" s="334" t="s">
        <v>225</v>
      </c>
      <c r="C78" s="335"/>
      <c r="D78" s="336"/>
      <c r="E78" s="346"/>
      <c r="F78" s="347"/>
      <c r="G78" s="347"/>
      <c r="H78" s="347"/>
      <c r="I78" s="348"/>
    </row>
    <row r="79" spans="2:10" ht="17" thickTop="1" thickBot="1" x14ac:dyDescent="0.25">
      <c r="B79" s="341" t="s">
        <v>25</v>
      </c>
      <c r="C79" s="341"/>
      <c r="D79" s="341"/>
      <c r="E79" s="307" t="s">
        <v>140</v>
      </c>
      <c r="F79" s="288"/>
      <c r="G79" s="151">
        <v>0.52</v>
      </c>
      <c r="H79" s="128" t="s">
        <v>26</v>
      </c>
      <c r="I79" s="14">
        <v>0.52</v>
      </c>
    </row>
    <row r="80" spans="2:10" ht="17" thickTop="1" thickBot="1" x14ac:dyDescent="0.25">
      <c r="B80" s="333" t="s">
        <v>34</v>
      </c>
      <c r="C80" s="333"/>
      <c r="D80" s="333"/>
      <c r="E80" s="307" t="s">
        <v>35</v>
      </c>
      <c r="F80" s="288"/>
      <c r="G80" s="155">
        <v>0.52</v>
      </c>
      <c r="H80" s="128" t="s">
        <v>26</v>
      </c>
      <c r="I80" s="17">
        <v>0.52</v>
      </c>
    </row>
    <row r="81" spans="2:33" ht="17" thickTop="1" thickBot="1" x14ac:dyDescent="0.25">
      <c r="B81" s="332" t="s">
        <v>176</v>
      </c>
      <c r="C81" s="333"/>
      <c r="D81" s="333"/>
      <c r="E81" s="306" t="s">
        <v>14</v>
      </c>
      <c r="F81" s="306"/>
      <c r="G81" s="145">
        <f>SUM(D95:X101)</f>
        <v>0</v>
      </c>
      <c r="H81" s="11" t="s">
        <v>15</v>
      </c>
      <c r="I81" s="141" t="s">
        <v>206</v>
      </c>
    </row>
    <row r="82" spans="2:33" ht="19" thickTop="1" thickBot="1" x14ac:dyDescent="0.25">
      <c r="B82" s="323" t="s">
        <v>221</v>
      </c>
      <c r="C82" s="324"/>
      <c r="D82" s="324"/>
      <c r="E82" s="307" t="s">
        <v>47</v>
      </c>
      <c r="F82" s="288"/>
      <c r="G82" s="176">
        <v>4.7E-2</v>
      </c>
      <c r="H82" s="128" t="s">
        <v>26</v>
      </c>
      <c r="I82" s="21">
        <v>4.7E-2</v>
      </c>
      <c r="J82" s="80" t="s">
        <v>255</v>
      </c>
    </row>
    <row r="83" spans="2:33" ht="17" thickTop="1" thickBot="1" x14ac:dyDescent="0.25">
      <c r="B83" s="340" t="s">
        <v>222</v>
      </c>
      <c r="C83" s="341"/>
      <c r="D83" s="341"/>
      <c r="E83" s="307" t="s">
        <v>138</v>
      </c>
      <c r="F83" s="288"/>
      <c r="G83" s="152">
        <v>4.7E-2</v>
      </c>
      <c r="H83" s="129" t="s">
        <v>26</v>
      </c>
      <c r="I83" s="69">
        <v>4.7E-2</v>
      </c>
    </row>
    <row r="84" spans="2:33" ht="18" thickTop="1" thickBot="1" x14ac:dyDescent="0.25">
      <c r="B84" s="310" t="s">
        <v>227</v>
      </c>
      <c r="C84" s="311"/>
      <c r="D84" s="312"/>
      <c r="E84" s="349"/>
      <c r="F84" s="350"/>
      <c r="G84" s="350"/>
      <c r="H84" s="350"/>
      <c r="I84" s="351"/>
    </row>
    <row r="85" spans="2:33" ht="16" thickBot="1" x14ac:dyDescent="0.25">
      <c r="B85" s="319" t="s">
        <v>207</v>
      </c>
      <c r="C85" s="320"/>
      <c r="D85" s="320"/>
      <c r="E85" s="307" t="s">
        <v>16</v>
      </c>
      <c r="F85" s="288"/>
      <c r="G85" s="255">
        <v>0.06</v>
      </c>
      <c r="H85" s="128" t="s">
        <v>17</v>
      </c>
      <c r="I85" s="253">
        <v>0.06</v>
      </c>
      <c r="J85" s="80" t="s">
        <v>256</v>
      </c>
    </row>
    <row r="86" spans="2:33" ht="17" thickTop="1" thickBot="1" x14ac:dyDescent="0.25">
      <c r="B86" s="320" t="s">
        <v>18</v>
      </c>
      <c r="C86" s="320"/>
      <c r="D86" s="320"/>
      <c r="E86" s="308" t="s">
        <v>19</v>
      </c>
      <c r="F86" s="309"/>
      <c r="G86" s="254">
        <v>0</v>
      </c>
      <c r="H86" s="128" t="s">
        <v>20</v>
      </c>
      <c r="I86" s="13">
        <v>0</v>
      </c>
      <c r="J86" s="80" t="s">
        <v>260</v>
      </c>
    </row>
    <row r="87" spans="2:33" ht="15" customHeight="1" thickTop="1" x14ac:dyDescent="0.2">
      <c r="B87" s="319" t="s">
        <v>2</v>
      </c>
      <c r="C87" s="320"/>
      <c r="D87" s="320"/>
      <c r="E87" s="308" t="s">
        <v>21</v>
      </c>
      <c r="F87" s="308"/>
      <c r="G87" s="146">
        <f>IF(no_tb&gt;0,(K27*no_tb),0)+IF(no_sb&gt;0,(K28*no_sb),0)+IF(no_tt&gt;0,(K29*no_tt),0)+IF(no_ps&gt;0,(K30*no_ps),0)+IF(no_dt&gt;0,(K31*no_dt),0)+IF(No_Pickup_Trucks&gt;0,(K32*No_Pickup_Trucks),0)+IF(No_Passcars&gt;0,(K33*No_Passcars),0)</f>
        <v>0</v>
      </c>
      <c r="H87" s="11" t="s">
        <v>22</v>
      </c>
      <c r="I87" s="141" t="s">
        <v>206</v>
      </c>
    </row>
    <row r="88" spans="2:33" ht="15" customHeight="1" x14ac:dyDescent="0.2">
      <c r="B88" s="320" t="s">
        <v>23</v>
      </c>
      <c r="C88" s="320"/>
      <c r="D88" s="320"/>
      <c r="E88" s="308" t="s">
        <v>24</v>
      </c>
      <c r="F88" s="308"/>
      <c r="G88" s="163">
        <f>IF(no_tb&gt;0,((E27-K27)*no_tb),0)+IF(no_sb&gt;0,((E28-K28)*no_sb),0)+IF(no_tt&gt;0,((E29-K29)*no_tt),0)+IF(no_ps&gt;0,((E30-K30)*no_ps),0)+IF(no_dt&gt;0,((E31-K31)*no_dt),0)+IF(No_Pickup_Trucks&gt;0,((E32-K32)*No_Pickup_Trucks),0)+IF(No_Passcars&gt;0,((E33-K33)*No_Passcars),0)</f>
        <v>0</v>
      </c>
      <c r="H88" s="11" t="s">
        <v>22</v>
      </c>
      <c r="I88" s="141" t="s">
        <v>206</v>
      </c>
    </row>
    <row r="89" spans="2:33" ht="15" customHeight="1" x14ac:dyDescent="0.2"/>
    <row r="90" spans="2:33" x14ac:dyDescent="0.2">
      <c r="D90" s="164"/>
      <c r="E90" s="164"/>
      <c r="F90" s="165"/>
      <c r="G90" s="165"/>
      <c r="H90" s="166"/>
      <c r="I90" s="167"/>
      <c r="X90" s="10"/>
      <c r="Y90" s="10"/>
      <c r="Z90" s="10"/>
      <c r="AA90" s="10"/>
      <c r="AB90" s="10"/>
      <c r="AC90" s="10"/>
      <c r="AD90" s="10"/>
      <c r="AE90" s="10"/>
      <c r="AF90" s="10"/>
      <c r="AG90" s="10"/>
    </row>
    <row r="91" spans="2:33" ht="27.75" customHeight="1" x14ac:dyDescent="0.3">
      <c r="B91" s="305" t="s">
        <v>378</v>
      </c>
      <c r="C91" s="305"/>
      <c r="D91" s="305"/>
      <c r="E91" s="305"/>
      <c r="F91" s="305"/>
      <c r="G91" s="305"/>
      <c r="H91" s="305"/>
      <c r="I91" s="305"/>
      <c r="J91" s="305"/>
      <c r="K91" s="305"/>
    </row>
    <row r="92" spans="2:33" ht="24" x14ac:dyDescent="0.3">
      <c r="B92" s="328" t="s">
        <v>273</v>
      </c>
      <c r="C92" s="329"/>
      <c r="D92" s="329"/>
      <c r="E92" s="329"/>
      <c r="F92" s="329"/>
      <c r="G92" s="329"/>
      <c r="H92" s="329"/>
      <c r="I92" s="329"/>
      <c r="J92" s="329"/>
      <c r="K92" s="329"/>
      <c r="L92" s="329"/>
      <c r="M92" s="329"/>
      <c r="N92" s="329"/>
      <c r="O92" s="329"/>
      <c r="P92" s="329"/>
      <c r="Q92" s="329"/>
      <c r="R92" s="329"/>
      <c r="S92" s="329"/>
      <c r="T92" s="329"/>
      <c r="U92" s="329"/>
      <c r="V92" s="329"/>
      <c r="W92" s="329"/>
      <c r="X92" s="329"/>
      <c r="Y92" s="337" t="s">
        <v>71</v>
      </c>
    </row>
    <row r="93" spans="2:33" ht="15" customHeight="1" x14ac:dyDescent="0.2">
      <c r="B93" s="291" t="s">
        <v>62</v>
      </c>
      <c r="C93" s="292"/>
      <c r="D93" s="8">
        <v>0</v>
      </c>
      <c r="E93" s="8">
        <f t="shared" ref="E93:X93" si="1">D93+1</f>
        <v>1</v>
      </c>
      <c r="F93" s="8">
        <f t="shared" si="1"/>
        <v>2</v>
      </c>
      <c r="G93" s="8">
        <f t="shared" si="1"/>
        <v>3</v>
      </c>
      <c r="H93" s="8">
        <f t="shared" si="1"/>
        <v>4</v>
      </c>
      <c r="I93" s="8">
        <f t="shared" si="1"/>
        <v>5</v>
      </c>
      <c r="J93" s="8">
        <f t="shared" si="1"/>
        <v>6</v>
      </c>
      <c r="K93" s="8">
        <f t="shared" si="1"/>
        <v>7</v>
      </c>
      <c r="L93" s="8">
        <f t="shared" si="1"/>
        <v>8</v>
      </c>
      <c r="M93" s="8">
        <f t="shared" si="1"/>
        <v>9</v>
      </c>
      <c r="N93" s="8">
        <f t="shared" si="1"/>
        <v>10</v>
      </c>
      <c r="O93" s="8">
        <f t="shared" si="1"/>
        <v>11</v>
      </c>
      <c r="P93" s="8">
        <f t="shared" si="1"/>
        <v>12</v>
      </c>
      <c r="Q93" s="8">
        <f t="shared" si="1"/>
        <v>13</v>
      </c>
      <c r="R93" s="8">
        <f t="shared" si="1"/>
        <v>14</v>
      </c>
      <c r="S93" s="8">
        <f t="shared" si="1"/>
        <v>15</v>
      </c>
      <c r="T93" s="8">
        <f t="shared" si="1"/>
        <v>16</v>
      </c>
      <c r="U93" s="8">
        <f t="shared" si="1"/>
        <v>17</v>
      </c>
      <c r="V93" s="8">
        <f t="shared" si="1"/>
        <v>18</v>
      </c>
      <c r="W93" s="8">
        <f t="shared" si="1"/>
        <v>19</v>
      </c>
      <c r="X93" s="8">
        <f t="shared" si="1"/>
        <v>20</v>
      </c>
      <c r="Y93" s="337"/>
    </row>
    <row r="94" spans="2:33" ht="17" thickBot="1" x14ac:dyDescent="0.25">
      <c r="B94" s="291" t="s">
        <v>0</v>
      </c>
      <c r="C94" s="292"/>
      <c r="D94" s="1"/>
      <c r="E94" s="1"/>
      <c r="F94" s="1"/>
      <c r="G94" s="1"/>
      <c r="H94" s="1"/>
      <c r="I94" s="1"/>
      <c r="J94" s="1"/>
      <c r="K94" s="1"/>
      <c r="L94" s="1"/>
      <c r="M94" s="1"/>
      <c r="N94" s="1"/>
      <c r="O94" s="1"/>
      <c r="P94" s="1"/>
      <c r="Q94" s="1"/>
      <c r="R94" s="1"/>
      <c r="S94" s="1"/>
      <c r="T94" s="1"/>
      <c r="U94" s="1"/>
      <c r="V94" s="1"/>
      <c r="W94" s="1"/>
      <c r="X94" s="1"/>
      <c r="Y94" s="337"/>
    </row>
    <row r="95" spans="2:33" ht="17" thickTop="1" thickBot="1" x14ac:dyDescent="0.25">
      <c r="B95" s="371" t="s">
        <v>56</v>
      </c>
      <c r="C95" s="368"/>
      <c r="D95" s="281">
        <v>0</v>
      </c>
      <c r="E95" s="281">
        <v>0</v>
      </c>
      <c r="F95" s="281">
        <v>0</v>
      </c>
      <c r="G95" s="281">
        <v>0</v>
      </c>
      <c r="H95" s="281">
        <v>0</v>
      </c>
      <c r="I95" s="281">
        <v>0</v>
      </c>
      <c r="J95" s="281">
        <v>0</v>
      </c>
      <c r="K95" s="281">
        <v>0</v>
      </c>
      <c r="L95" s="281">
        <v>0</v>
      </c>
      <c r="M95" s="281">
        <v>0</v>
      </c>
      <c r="N95" s="281">
        <v>0</v>
      </c>
      <c r="O95" s="281">
        <v>0</v>
      </c>
      <c r="P95" s="281">
        <v>0</v>
      </c>
      <c r="Q95" s="281">
        <v>0</v>
      </c>
      <c r="R95" s="281">
        <v>0</v>
      </c>
      <c r="S95" s="281">
        <v>0</v>
      </c>
      <c r="T95" s="281">
        <v>0</v>
      </c>
      <c r="U95" s="281">
        <v>0</v>
      </c>
      <c r="V95" s="281">
        <v>0</v>
      </c>
      <c r="W95" s="281">
        <v>0</v>
      </c>
      <c r="X95" s="281">
        <v>0</v>
      </c>
      <c r="Y95" s="8">
        <f>SUM(D95:X95)</f>
        <v>0</v>
      </c>
    </row>
    <row r="96" spans="2:33" ht="17" thickTop="1" thickBot="1" x14ac:dyDescent="0.25">
      <c r="B96" s="367" t="s">
        <v>57</v>
      </c>
      <c r="C96" s="368"/>
      <c r="D96" s="281">
        <v>0</v>
      </c>
      <c r="E96" s="281">
        <v>0</v>
      </c>
      <c r="F96" s="281">
        <v>0</v>
      </c>
      <c r="G96" s="281">
        <v>0</v>
      </c>
      <c r="H96" s="281">
        <v>0</v>
      </c>
      <c r="I96" s="281">
        <v>0</v>
      </c>
      <c r="J96" s="281">
        <v>0</v>
      </c>
      <c r="K96" s="281">
        <v>0</v>
      </c>
      <c r="L96" s="281">
        <v>0</v>
      </c>
      <c r="M96" s="281">
        <v>0</v>
      </c>
      <c r="N96" s="281">
        <v>0</v>
      </c>
      <c r="O96" s="281">
        <v>0</v>
      </c>
      <c r="P96" s="281">
        <v>0</v>
      </c>
      <c r="Q96" s="281">
        <v>0</v>
      </c>
      <c r="R96" s="281">
        <v>0</v>
      </c>
      <c r="S96" s="281">
        <v>0</v>
      </c>
      <c r="T96" s="281">
        <v>0</v>
      </c>
      <c r="U96" s="281">
        <v>0</v>
      </c>
      <c r="V96" s="281">
        <v>0</v>
      </c>
      <c r="W96" s="281">
        <v>0</v>
      </c>
      <c r="X96" s="281">
        <v>0</v>
      </c>
      <c r="Y96" s="8">
        <f t="shared" ref="Y96:Y101" si="2">SUM(D96:X96)</f>
        <v>0</v>
      </c>
    </row>
    <row r="97" spans="2:25" ht="17" thickTop="1" thickBot="1" x14ac:dyDescent="0.25">
      <c r="B97" s="367" t="s">
        <v>58</v>
      </c>
      <c r="C97" s="368"/>
      <c r="D97" s="281">
        <v>0</v>
      </c>
      <c r="E97" s="281">
        <v>0</v>
      </c>
      <c r="F97" s="281">
        <v>0</v>
      </c>
      <c r="G97" s="281">
        <v>0</v>
      </c>
      <c r="H97" s="281">
        <v>0</v>
      </c>
      <c r="I97" s="281">
        <v>0</v>
      </c>
      <c r="J97" s="281">
        <v>0</v>
      </c>
      <c r="K97" s="281">
        <v>0</v>
      </c>
      <c r="L97" s="281">
        <v>0</v>
      </c>
      <c r="M97" s="281">
        <v>0</v>
      </c>
      <c r="N97" s="281">
        <v>0</v>
      </c>
      <c r="O97" s="281">
        <v>0</v>
      </c>
      <c r="P97" s="281">
        <v>0</v>
      </c>
      <c r="Q97" s="281">
        <v>0</v>
      </c>
      <c r="R97" s="281">
        <v>0</v>
      </c>
      <c r="S97" s="281">
        <v>0</v>
      </c>
      <c r="T97" s="281">
        <v>0</v>
      </c>
      <c r="U97" s="281">
        <v>0</v>
      </c>
      <c r="V97" s="281">
        <v>0</v>
      </c>
      <c r="W97" s="281">
        <v>0</v>
      </c>
      <c r="X97" s="281">
        <v>0</v>
      </c>
      <c r="Y97" s="8">
        <f t="shared" si="2"/>
        <v>0</v>
      </c>
    </row>
    <row r="98" spans="2:25" ht="17" thickTop="1" thickBot="1" x14ac:dyDescent="0.25">
      <c r="B98" s="367" t="s">
        <v>59</v>
      </c>
      <c r="C98" s="368"/>
      <c r="D98" s="281">
        <v>0</v>
      </c>
      <c r="E98" s="281">
        <v>0</v>
      </c>
      <c r="F98" s="281">
        <v>0</v>
      </c>
      <c r="G98" s="281">
        <v>0</v>
      </c>
      <c r="H98" s="281">
        <v>0</v>
      </c>
      <c r="I98" s="281">
        <v>0</v>
      </c>
      <c r="J98" s="281">
        <v>0</v>
      </c>
      <c r="K98" s="281">
        <v>0</v>
      </c>
      <c r="L98" s="281">
        <v>0</v>
      </c>
      <c r="M98" s="281">
        <v>0</v>
      </c>
      <c r="N98" s="281">
        <v>0</v>
      </c>
      <c r="O98" s="281">
        <v>0</v>
      </c>
      <c r="P98" s="281">
        <v>0</v>
      </c>
      <c r="Q98" s="281">
        <v>0</v>
      </c>
      <c r="R98" s="281">
        <v>0</v>
      </c>
      <c r="S98" s="281">
        <v>0</v>
      </c>
      <c r="T98" s="281">
        <v>0</v>
      </c>
      <c r="U98" s="281">
        <v>0</v>
      </c>
      <c r="V98" s="281">
        <v>0</v>
      </c>
      <c r="W98" s="281">
        <v>0</v>
      </c>
      <c r="X98" s="281">
        <v>0</v>
      </c>
      <c r="Y98" s="8">
        <f t="shared" si="2"/>
        <v>0</v>
      </c>
    </row>
    <row r="99" spans="2:25" ht="17" thickTop="1" thickBot="1" x14ac:dyDescent="0.25">
      <c r="B99" s="367" t="s">
        <v>60</v>
      </c>
      <c r="C99" s="368"/>
      <c r="D99" s="281">
        <v>0</v>
      </c>
      <c r="E99" s="281">
        <v>0</v>
      </c>
      <c r="F99" s="281">
        <v>0</v>
      </c>
      <c r="G99" s="281">
        <v>0</v>
      </c>
      <c r="H99" s="281">
        <v>0</v>
      </c>
      <c r="I99" s="281">
        <v>0</v>
      </c>
      <c r="J99" s="281">
        <v>0</v>
      </c>
      <c r="K99" s="281">
        <v>0</v>
      </c>
      <c r="L99" s="281">
        <v>0</v>
      </c>
      <c r="M99" s="281">
        <v>0</v>
      </c>
      <c r="N99" s="281">
        <v>0</v>
      </c>
      <c r="O99" s="281">
        <v>0</v>
      </c>
      <c r="P99" s="281">
        <v>0</v>
      </c>
      <c r="Q99" s="281">
        <v>0</v>
      </c>
      <c r="R99" s="281">
        <v>0</v>
      </c>
      <c r="S99" s="281">
        <v>0</v>
      </c>
      <c r="T99" s="281">
        <v>0</v>
      </c>
      <c r="U99" s="281">
        <v>0</v>
      </c>
      <c r="V99" s="281">
        <v>0</v>
      </c>
      <c r="W99" s="281">
        <v>0</v>
      </c>
      <c r="X99" s="281">
        <v>0</v>
      </c>
      <c r="Y99" s="8">
        <f t="shared" si="2"/>
        <v>0</v>
      </c>
    </row>
    <row r="100" spans="2:25" ht="17" thickTop="1" thickBot="1" x14ac:dyDescent="0.25">
      <c r="B100" s="369" t="s">
        <v>61</v>
      </c>
      <c r="C100" s="370"/>
      <c r="D100" s="281">
        <v>0</v>
      </c>
      <c r="E100" s="281">
        <v>0</v>
      </c>
      <c r="F100" s="281">
        <v>0</v>
      </c>
      <c r="G100" s="281">
        <v>0</v>
      </c>
      <c r="H100" s="281">
        <v>0</v>
      </c>
      <c r="I100" s="281">
        <v>0</v>
      </c>
      <c r="J100" s="281">
        <v>0</v>
      </c>
      <c r="K100" s="281">
        <v>0</v>
      </c>
      <c r="L100" s="281">
        <v>0</v>
      </c>
      <c r="M100" s="281">
        <v>0</v>
      </c>
      <c r="N100" s="281">
        <v>0</v>
      </c>
      <c r="O100" s="281">
        <v>0</v>
      </c>
      <c r="P100" s="281">
        <v>0</v>
      </c>
      <c r="Q100" s="281">
        <v>0</v>
      </c>
      <c r="R100" s="281">
        <v>0</v>
      </c>
      <c r="S100" s="281">
        <v>0</v>
      </c>
      <c r="T100" s="281">
        <v>0</v>
      </c>
      <c r="U100" s="281">
        <v>0</v>
      </c>
      <c r="V100" s="281">
        <v>0</v>
      </c>
      <c r="W100" s="281">
        <v>0</v>
      </c>
      <c r="X100" s="281">
        <v>0</v>
      </c>
      <c r="Y100" s="8">
        <f t="shared" si="2"/>
        <v>0</v>
      </c>
    </row>
    <row r="101" spans="2:25" ht="17" thickTop="1" thickBot="1" x14ac:dyDescent="0.25">
      <c r="B101" s="367" t="s">
        <v>133</v>
      </c>
      <c r="C101" s="368"/>
      <c r="D101" s="281">
        <v>0</v>
      </c>
      <c r="E101" s="281">
        <v>0</v>
      </c>
      <c r="F101" s="281">
        <v>0</v>
      </c>
      <c r="G101" s="281">
        <v>0</v>
      </c>
      <c r="H101" s="281">
        <v>0</v>
      </c>
      <c r="I101" s="281">
        <v>0</v>
      </c>
      <c r="J101" s="281">
        <v>0</v>
      </c>
      <c r="K101" s="281">
        <v>0</v>
      </c>
      <c r="L101" s="281">
        <v>0</v>
      </c>
      <c r="M101" s="281">
        <v>0</v>
      </c>
      <c r="N101" s="281">
        <v>0</v>
      </c>
      <c r="O101" s="281">
        <v>0</v>
      </c>
      <c r="P101" s="281">
        <v>0</v>
      </c>
      <c r="Q101" s="281">
        <v>0</v>
      </c>
      <c r="R101" s="281">
        <v>0</v>
      </c>
      <c r="S101" s="281">
        <v>0</v>
      </c>
      <c r="T101" s="281">
        <v>0</v>
      </c>
      <c r="U101" s="281">
        <v>0</v>
      </c>
      <c r="V101" s="281">
        <v>0</v>
      </c>
      <c r="W101" s="281">
        <v>0</v>
      </c>
      <c r="X101" s="281">
        <v>0</v>
      </c>
      <c r="Y101" s="8">
        <f t="shared" si="2"/>
        <v>0</v>
      </c>
    </row>
    <row r="102" spans="2:25" ht="16" thickTop="1" x14ac:dyDescent="0.2">
      <c r="B102" s="326"/>
      <c r="C102" s="327"/>
      <c r="D102" s="1"/>
      <c r="E102" s="1"/>
      <c r="F102" s="1"/>
      <c r="G102" s="1"/>
      <c r="H102" s="1"/>
      <c r="I102" s="1"/>
      <c r="J102" s="1"/>
      <c r="K102" s="1"/>
      <c r="L102" s="1"/>
      <c r="M102" s="1"/>
      <c r="N102" s="1"/>
      <c r="O102" s="1"/>
      <c r="P102" s="1"/>
      <c r="Q102" s="1"/>
      <c r="R102" s="1"/>
      <c r="S102" s="1"/>
      <c r="T102" s="1"/>
      <c r="U102" s="1"/>
      <c r="V102" s="1"/>
      <c r="W102" s="1"/>
      <c r="X102" s="1"/>
      <c r="Y102" s="1"/>
    </row>
    <row r="103" spans="2:25" x14ac:dyDescent="0.2">
      <c r="B103" s="326" t="s">
        <v>139</v>
      </c>
      <c r="C103" s="327"/>
      <c r="D103" s="23">
        <f>SUM(D95:D101)</f>
        <v>0</v>
      </c>
      <c r="E103" s="23">
        <f t="shared" ref="E103:Y103" si="3">SUM(E95:E101)</f>
        <v>0</v>
      </c>
      <c r="F103" s="23">
        <f t="shared" si="3"/>
        <v>0</v>
      </c>
      <c r="G103" s="23">
        <f t="shared" si="3"/>
        <v>0</v>
      </c>
      <c r="H103" s="23">
        <f t="shared" si="3"/>
        <v>0</v>
      </c>
      <c r="I103" s="23">
        <f t="shared" si="3"/>
        <v>0</v>
      </c>
      <c r="J103" s="23">
        <f t="shared" si="3"/>
        <v>0</v>
      </c>
      <c r="K103" s="23">
        <f t="shared" si="3"/>
        <v>0</v>
      </c>
      <c r="L103" s="23">
        <f t="shared" si="3"/>
        <v>0</v>
      </c>
      <c r="M103" s="23">
        <f t="shared" si="3"/>
        <v>0</v>
      </c>
      <c r="N103" s="23">
        <f t="shared" si="3"/>
        <v>0</v>
      </c>
      <c r="O103" s="23">
        <f t="shared" si="3"/>
        <v>0</v>
      </c>
      <c r="P103" s="23">
        <f t="shared" si="3"/>
        <v>0</v>
      </c>
      <c r="Q103" s="23">
        <f t="shared" si="3"/>
        <v>0</v>
      </c>
      <c r="R103" s="23">
        <f t="shared" si="3"/>
        <v>0</v>
      </c>
      <c r="S103" s="23">
        <f t="shared" si="3"/>
        <v>0</v>
      </c>
      <c r="T103" s="23">
        <f t="shared" si="3"/>
        <v>0</v>
      </c>
      <c r="U103" s="23">
        <f t="shared" si="3"/>
        <v>0</v>
      </c>
      <c r="V103" s="23">
        <f t="shared" si="3"/>
        <v>0</v>
      </c>
      <c r="W103" s="23">
        <f t="shared" si="3"/>
        <v>0</v>
      </c>
      <c r="X103" s="23">
        <f t="shared" si="3"/>
        <v>0</v>
      </c>
      <c r="Y103" s="23">
        <f t="shared" si="3"/>
        <v>0</v>
      </c>
    </row>
    <row r="104" spans="2:25" x14ac:dyDescent="0.2">
      <c r="B104" s="10"/>
      <c r="C104" s="10"/>
      <c r="D104" s="47"/>
      <c r="E104" s="47"/>
      <c r="F104" s="47"/>
      <c r="G104" s="47"/>
      <c r="H104" s="47"/>
      <c r="I104" s="47"/>
      <c r="J104" s="47"/>
      <c r="K104" s="47"/>
      <c r="L104" s="47"/>
      <c r="M104" s="47"/>
      <c r="N104" s="47"/>
      <c r="O104" s="47"/>
      <c r="P104" s="47"/>
      <c r="Q104" s="47"/>
      <c r="R104" s="47"/>
      <c r="S104" s="47"/>
      <c r="T104" s="47"/>
      <c r="U104" s="47"/>
      <c r="V104" s="47"/>
      <c r="W104" s="47"/>
      <c r="X104" s="47"/>
      <c r="Y104" s="47"/>
    </row>
    <row r="105" spans="2:25" ht="33.75" customHeight="1" x14ac:dyDescent="0.3">
      <c r="B105" s="222" t="s">
        <v>294</v>
      </c>
      <c r="C105" s="222"/>
      <c r="D105" s="222"/>
      <c r="E105" s="222"/>
      <c r="F105" s="222"/>
      <c r="G105" s="222"/>
      <c r="H105" s="222"/>
      <c r="I105" s="222"/>
      <c r="J105" s="222"/>
      <c r="K105" s="222"/>
      <c r="L105" s="47"/>
      <c r="M105" s="47"/>
      <c r="N105" s="47"/>
      <c r="O105" s="47"/>
      <c r="P105" s="47"/>
      <c r="Q105" s="47"/>
      <c r="R105" s="47"/>
      <c r="S105" s="47"/>
      <c r="T105" s="47"/>
      <c r="U105" s="47"/>
      <c r="V105" s="47"/>
      <c r="W105" s="47"/>
      <c r="X105" s="47"/>
      <c r="Y105" s="47"/>
    </row>
    <row r="106" spans="2:25" ht="18" customHeight="1" thickBot="1" x14ac:dyDescent="0.25">
      <c r="B106" s="291" t="s">
        <v>62</v>
      </c>
      <c r="C106" s="292"/>
      <c r="D106" s="126">
        <v>0</v>
      </c>
      <c r="E106" s="126">
        <f t="shared" ref="E106" si="4">D106+1</f>
        <v>1</v>
      </c>
      <c r="F106" s="126">
        <f t="shared" ref="F106" si="5">E106+1</f>
        <v>2</v>
      </c>
      <c r="G106" s="126">
        <f t="shared" ref="G106" si="6">F106+1</f>
        <v>3</v>
      </c>
      <c r="H106" s="126">
        <f t="shared" ref="H106" si="7">G106+1</f>
        <v>4</v>
      </c>
      <c r="I106" s="126">
        <f t="shared" ref="I106" si="8">H106+1</f>
        <v>5</v>
      </c>
      <c r="J106" s="126">
        <f t="shared" ref="J106" si="9">I106+1</f>
        <v>6</v>
      </c>
      <c r="K106" s="126">
        <f t="shared" ref="K106" si="10">J106+1</f>
        <v>7</v>
      </c>
      <c r="L106" s="126">
        <f t="shared" ref="L106" si="11">K106+1</f>
        <v>8</v>
      </c>
      <c r="M106" s="126">
        <f t="shared" ref="M106" si="12">L106+1</f>
        <v>9</v>
      </c>
      <c r="N106" s="126">
        <f t="shared" ref="N106" si="13">M106+1</f>
        <v>10</v>
      </c>
      <c r="O106" s="126">
        <f t="shared" ref="O106" si="14">N106+1</f>
        <v>11</v>
      </c>
      <c r="P106" s="126">
        <f t="shared" ref="P106" si="15">O106+1</f>
        <v>12</v>
      </c>
      <c r="Q106" s="126">
        <f t="shared" ref="Q106" si="16">P106+1</f>
        <v>13</v>
      </c>
      <c r="R106" s="126">
        <f t="shared" ref="R106" si="17">Q106+1</f>
        <v>14</v>
      </c>
      <c r="S106" s="126">
        <f t="shared" ref="S106" si="18">R106+1</f>
        <v>15</v>
      </c>
      <c r="T106" s="126">
        <f t="shared" ref="T106" si="19">S106+1</f>
        <v>16</v>
      </c>
      <c r="U106" s="126">
        <f t="shared" ref="U106" si="20">T106+1</f>
        <v>17</v>
      </c>
      <c r="V106" s="126">
        <f t="shared" ref="V106" si="21">U106+1</f>
        <v>18</v>
      </c>
      <c r="W106" s="126">
        <f t="shared" ref="W106" si="22">V106+1</f>
        <v>19</v>
      </c>
      <c r="X106" s="126">
        <f t="shared" ref="X106" si="23">W106+1</f>
        <v>20</v>
      </c>
      <c r="Y106" s="23"/>
    </row>
    <row r="107" spans="2:25" ht="16" thickTop="1" x14ac:dyDescent="0.2">
      <c r="B107" s="342" t="s">
        <v>189</v>
      </c>
      <c r="C107" s="343"/>
      <c r="D107" s="330">
        <v>0</v>
      </c>
      <c r="E107" s="330">
        <v>0</v>
      </c>
      <c r="F107" s="330">
        <v>0</v>
      </c>
      <c r="G107" s="330">
        <v>0</v>
      </c>
      <c r="H107" s="330">
        <v>0</v>
      </c>
      <c r="I107" s="330">
        <v>0</v>
      </c>
      <c r="J107" s="330">
        <v>0</v>
      </c>
      <c r="K107" s="330">
        <v>0</v>
      </c>
      <c r="L107" s="330">
        <v>0</v>
      </c>
      <c r="M107" s="330">
        <v>0</v>
      </c>
      <c r="N107" s="330">
        <v>0</v>
      </c>
      <c r="O107" s="330">
        <v>0</v>
      </c>
      <c r="P107" s="330">
        <v>0</v>
      </c>
      <c r="Q107" s="330">
        <v>0</v>
      </c>
      <c r="R107" s="330">
        <v>0</v>
      </c>
      <c r="S107" s="330">
        <v>0</v>
      </c>
      <c r="T107" s="330">
        <v>0</v>
      </c>
      <c r="U107" s="330">
        <v>0</v>
      </c>
      <c r="V107" s="330">
        <v>0</v>
      </c>
      <c r="W107" s="330">
        <v>0</v>
      </c>
      <c r="X107" s="330">
        <v>0</v>
      </c>
      <c r="Y107" s="338">
        <f>SUM(D107:X107)</f>
        <v>0</v>
      </c>
    </row>
    <row r="108" spans="2:25" ht="16" thickBot="1" x14ac:dyDescent="0.25">
      <c r="B108" s="344"/>
      <c r="C108" s="345"/>
      <c r="D108" s="331"/>
      <c r="E108" s="331"/>
      <c r="F108" s="331"/>
      <c r="G108" s="331"/>
      <c r="H108" s="331"/>
      <c r="I108" s="331"/>
      <c r="J108" s="331"/>
      <c r="K108" s="331"/>
      <c r="L108" s="331"/>
      <c r="M108" s="331"/>
      <c r="N108" s="331"/>
      <c r="O108" s="331"/>
      <c r="P108" s="331"/>
      <c r="Q108" s="331"/>
      <c r="R108" s="331"/>
      <c r="S108" s="331"/>
      <c r="T108" s="331"/>
      <c r="U108" s="331"/>
      <c r="V108" s="331"/>
      <c r="W108" s="331"/>
      <c r="X108" s="331"/>
      <c r="Y108" s="339"/>
    </row>
    <row r="109" spans="2:25" ht="32.25" customHeight="1" thickTop="1" x14ac:dyDescent="0.2">
      <c r="B109" s="355" t="s">
        <v>188</v>
      </c>
      <c r="C109" s="355"/>
      <c r="D109" s="147">
        <f>IF(AND(Project_Type=1,Invest_Type=1),'Financial Calculations'!E9,0)</f>
        <v>0</v>
      </c>
      <c r="E109" s="147">
        <f>IF(AND(Project_Type=1,Invest_Type=1),'Financial Calculations'!F9,0)</f>
        <v>0</v>
      </c>
      <c r="F109" s="147">
        <f>IF(AND(Project_Type=1,Invest_Type=1),'Financial Calculations'!G9,0)</f>
        <v>0</v>
      </c>
      <c r="G109" s="147">
        <f>IF(AND(Project_Type=1,Invest_Type=1),'Financial Calculations'!H9,0)</f>
        <v>0</v>
      </c>
      <c r="H109" s="147">
        <f>IF(AND(Project_Type=1,Invest_Type=1),'Financial Calculations'!I9,0)</f>
        <v>0</v>
      </c>
      <c r="I109" s="147">
        <f>IF(AND(Project_Type=1,Invest_Type=1),'Financial Calculations'!J9,0)</f>
        <v>0</v>
      </c>
      <c r="J109" s="147">
        <f>IF(AND(Project_Type=1,Invest_Type=1),'Financial Calculations'!K9,0)</f>
        <v>0</v>
      </c>
      <c r="K109" s="147">
        <f>IF(AND(Project_Type=1,Invest_Type=1),'Financial Calculations'!L9,0)</f>
        <v>0</v>
      </c>
      <c r="L109" s="147">
        <f>IF(AND(Project_Type=1,Invest_Type=1),'Financial Calculations'!M9,0)</f>
        <v>0</v>
      </c>
      <c r="M109" s="147">
        <f>IF(AND(Project_Type=1,Invest_Type=1),'Financial Calculations'!N9,0)</f>
        <v>0</v>
      </c>
      <c r="N109" s="147">
        <f>IF(AND(Project_Type=1,Invest_Type=1),'Financial Calculations'!O9,0)</f>
        <v>0</v>
      </c>
      <c r="O109" s="147">
        <f>IF(AND(Project_Type=1,Invest_Type=1),'Financial Calculations'!P9,0)</f>
        <v>0</v>
      </c>
      <c r="P109" s="147">
        <f>IF(AND(Project_Type=1,Invest_Type=1),'Financial Calculations'!Q9,0)</f>
        <v>0</v>
      </c>
      <c r="Q109" s="147">
        <f>IF(AND(Project_Type=1,Invest_Type=1),'Financial Calculations'!R9,0)</f>
        <v>0</v>
      </c>
      <c r="R109" s="147">
        <f>IF(AND(Project_Type=1,Invest_Type=1),'Financial Calculations'!S9,0)</f>
        <v>0</v>
      </c>
      <c r="S109" s="147">
        <f>IF(AND(Project_Type=1,Invest_Type=1),'Financial Calculations'!T9,0)</f>
        <v>0</v>
      </c>
      <c r="T109" s="147">
        <f>IF(AND(Project_Type=1,Invest_Type=1),'Financial Calculations'!U9,0)</f>
        <v>0</v>
      </c>
      <c r="U109" s="147">
        <f>IF(AND(Project_Type=1,Invest_Type=1),'Financial Calculations'!V9,0)</f>
        <v>0</v>
      </c>
      <c r="V109" s="147">
        <f>IF(AND(Project_Type=1,Invest_Type=1),'Financial Calculations'!W9,0)</f>
        <v>0</v>
      </c>
      <c r="W109" s="147">
        <f>IF(AND(Project_Type=1,Invest_Type=1),'Financial Calculations'!X9,0)</f>
        <v>0</v>
      </c>
      <c r="X109" s="147">
        <v>0</v>
      </c>
      <c r="Y109" s="148">
        <f>SUM(D109:X109)</f>
        <v>0</v>
      </c>
    </row>
    <row r="110" spans="2:25" ht="19" x14ac:dyDescent="0.2">
      <c r="B110" t="s">
        <v>350</v>
      </c>
    </row>
    <row r="111" spans="2:25" ht="17.25" customHeight="1" x14ac:dyDescent="0.25">
      <c r="B111" t="s">
        <v>271</v>
      </c>
    </row>
    <row r="113" spans="2:24" x14ac:dyDescent="0.2">
      <c r="B113" s="196" t="s">
        <v>270</v>
      </c>
    </row>
    <row r="114" spans="2:24" x14ac:dyDescent="0.2">
      <c r="B114" s="107" t="s">
        <v>314</v>
      </c>
      <c r="C114" s="75"/>
      <c r="D114" s="75"/>
      <c r="E114" s="75"/>
      <c r="F114" s="75"/>
      <c r="G114" s="75"/>
      <c r="K114" s="10"/>
      <c r="L114" s="10"/>
      <c r="M114" s="10"/>
      <c r="N114" s="10"/>
      <c r="O114" s="10"/>
      <c r="P114" s="10"/>
      <c r="Q114" s="10"/>
      <c r="R114" s="10"/>
      <c r="S114" s="10"/>
      <c r="T114" s="10"/>
      <c r="U114" s="10"/>
      <c r="V114" s="10"/>
      <c r="W114" s="10"/>
      <c r="X114" s="10"/>
    </row>
    <row r="115" spans="2:24" x14ac:dyDescent="0.2">
      <c r="B115" s="107" t="s">
        <v>315</v>
      </c>
      <c r="C115" s="40"/>
      <c r="D115" s="40"/>
      <c r="E115" s="40"/>
      <c r="F115" s="40"/>
      <c r="G115" s="40"/>
      <c r="L115" s="10"/>
      <c r="M115" s="10"/>
      <c r="N115" s="10"/>
      <c r="O115" s="10"/>
      <c r="P115" s="10"/>
      <c r="Q115" s="10"/>
      <c r="R115" s="10"/>
      <c r="S115" s="10"/>
      <c r="T115" s="10"/>
      <c r="U115" s="10"/>
      <c r="V115" s="10"/>
      <c r="W115" s="10"/>
      <c r="X115" s="10"/>
    </row>
    <row r="116" spans="2:24" x14ac:dyDescent="0.2">
      <c r="B116" s="317" t="s">
        <v>219</v>
      </c>
      <c r="C116" s="318"/>
      <c r="D116" s="318"/>
      <c r="E116" s="318"/>
      <c r="F116" s="318"/>
      <c r="G116" s="318"/>
    </row>
    <row r="117" spans="2:24" x14ac:dyDescent="0.2">
      <c r="B117" s="251" t="s">
        <v>317</v>
      </c>
      <c r="C117" s="75"/>
      <c r="D117" s="75"/>
      <c r="E117" s="75"/>
      <c r="F117" s="75"/>
      <c r="G117" s="75"/>
    </row>
    <row r="118" spans="2:24" x14ac:dyDescent="0.2">
      <c r="B118" s="251" t="s">
        <v>316</v>
      </c>
      <c r="C118" s="40"/>
      <c r="D118" s="40"/>
      <c r="E118" s="40"/>
      <c r="F118" s="40"/>
      <c r="G118" s="40"/>
    </row>
    <row r="119" spans="2:24" x14ac:dyDescent="0.2">
      <c r="C119" s="40"/>
      <c r="D119" s="40"/>
      <c r="E119" s="40"/>
      <c r="F119" s="40"/>
      <c r="G119" s="40"/>
    </row>
    <row r="120" spans="2:24" x14ac:dyDescent="0.2">
      <c r="C120" s="40"/>
      <c r="D120" s="40"/>
      <c r="E120" s="40"/>
      <c r="F120" s="40"/>
      <c r="G120" s="40"/>
    </row>
    <row r="121" spans="2:24" x14ac:dyDescent="0.2">
      <c r="C121" s="40"/>
      <c r="D121" s="40"/>
      <c r="E121" s="40"/>
      <c r="F121" s="40"/>
      <c r="G121" s="40"/>
    </row>
    <row r="122" spans="2:24" x14ac:dyDescent="0.2">
      <c r="C122" s="40"/>
      <c r="D122" s="40"/>
      <c r="E122" s="40"/>
      <c r="F122" s="40"/>
      <c r="G122" s="40"/>
    </row>
    <row r="123" spans="2:24" x14ac:dyDescent="0.2">
      <c r="C123" s="40"/>
      <c r="D123" s="40"/>
      <c r="E123" s="40"/>
      <c r="F123" s="40"/>
      <c r="G123" s="40"/>
    </row>
  </sheetData>
  <mergeCells count="145">
    <mergeCell ref="F4:I4"/>
    <mergeCell ref="F5:I5"/>
    <mergeCell ref="B11:C11"/>
    <mergeCell ref="B15:C15"/>
    <mergeCell ref="B20:C20"/>
    <mergeCell ref="J46:N46"/>
    <mergeCell ref="J47:N47"/>
    <mergeCell ref="F107:F108"/>
    <mergeCell ref="G107:G108"/>
    <mergeCell ref="B12:I12"/>
    <mergeCell ref="B101:C101"/>
    <mergeCell ref="B97:C97"/>
    <mergeCell ref="B98:C98"/>
    <mergeCell ref="B99:C99"/>
    <mergeCell ref="B100:C100"/>
    <mergeCell ref="B95:C95"/>
    <mergeCell ref="B96:C96"/>
    <mergeCell ref="E65:F65"/>
    <mergeCell ref="E66:F66"/>
    <mergeCell ref="B59:D59"/>
    <mergeCell ref="E59:F59"/>
    <mergeCell ref="B57:D57"/>
    <mergeCell ref="B84:D84"/>
    <mergeCell ref="E57:I57"/>
    <mergeCell ref="E78:I78"/>
    <mergeCell ref="E84:I84"/>
    <mergeCell ref="B14:D14"/>
    <mergeCell ref="E14:F14"/>
    <mergeCell ref="B16:I16"/>
    <mergeCell ref="B109:C109"/>
    <mergeCell ref="R107:R108"/>
    <mergeCell ref="S107:S108"/>
    <mergeCell ref="T107:T108"/>
    <mergeCell ref="E15:F15"/>
    <mergeCell ref="B60:D60"/>
    <mergeCell ref="B61:D61"/>
    <mergeCell ref="B58:D58"/>
    <mergeCell ref="B63:D63"/>
    <mergeCell ref="E60:F60"/>
    <mergeCell ref="E61:F61"/>
    <mergeCell ref="E58:F58"/>
    <mergeCell ref="E64:F64"/>
    <mergeCell ref="B62:D62"/>
    <mergeCell ref="E62:F62"/>
    <mergeCell ref="E67:F67"/>
    <mergeCell ref="B67:D67"/>
    <mergeCell ref="B18:E18"/>
    <mergeCell ref="B19:D19"/>
    <mergeCell ref="M107:M108"/>
    <mergeCell ref="N107:N108"/>
    <mergeCell ref="H107:H108"/>
    <mergeCell ref="I107:I108"/>
    <mergeCell ref="J107:J108"/>
    <mergeCell ref="K107:K108"/>
    <mergeCell ref="L107:L108"/>
    <mergeCell ref="D107:D108"/>
    <mergeCell ref="E107:E108"/>
    <mergeCell ref="Y92:Y94"/>
    <mergeCell ref="B70:D70"/>
    <mergeCell ref="E70:F70"/>
    <mergeCell ref="B77:D77"/>
    <mergeCell ref="E77:F77"/>
    <mergeCell ref="B72:D72"/>
    <mergeCell ref="B74:D74"/>
    <mergeCell ref="E74:F74"/>
    <mergeCell ref="Y107:Y108"/>
    <mergeCell ref="X107:X108"/>
    <mergeCell ref="B83:D83"/>
    <mergeCell ref="B80:D80"/>
    <mergeCell ref="B79:D79"/>
    <mergeCell ref="E79:F79"/>
    <mergeCell ref="E80:F80"/>
    <mergeCell ref="B75:D75"/>
    <mergeCell ref="E75:F75"/>
    <mergeCell ref="E72:F72"/>
    <mergeCell ref="U107:U108"/>
    <mergeCell ref="V107:V108"/>
    <mergeCell ref="O107:O108"/>
    <mergeCell ref="P107:P108"/>
    <mergeCell ref="Q107:Q108"/>
    <mergeCell ref="B107:C108"/>
    <mergeCell ref="B116:G116"/>
    <mergeCell ref="B87:D87"/>
    <mergeCell ref="B88:D88"/>
    <mergeCell ref="B64:D64"/>
    <mergeCell ref="B76:D76"/>
    <mergeCell ref="E68:F68"/>
    <mergeCell ref="B47:D47"/>
    <mergeCell ref="B68:D68"/>
    <mergeCell ref="B69:D69"/>
    <mergeCell ref="B82:D82"/>
    <mergeCell ref="B71:D71"/>
    <mergeCell ref="B48:D48"/>
    <mergeCell ref="B102:C102"/>
    <mergeCell ref="B103:C103"/>
    <mergeCell ref="B92:X92"/>
    <mergeCell ref="B94:C94"/>
    <mergeCell ref="W107:W108"/>
    <mergeCell ref="B81:D81"/>
    <mergeCell ref="B85:D85"/>
    <mergeCell ref="B86:D86"/>
    <mergeCell ref="E76:F76"/>
    <mergeCell ref="B78:D78"/>
    <mergeCell ref="E63:F63"/>
    <mergeCell ref="E88:F88"/>
    <mergeCell ref="E19:F19"/>
    <mergeCell ref="E20:F20"/>
    <mergeCell ref="E46:F46"/>
    <mergeCell ref="B46:D46"/>
    <mergeCell ref="E54:F54"/>
    <mergeCell ref="E55:F55"/>
    <mergeCell ref="B54:D54"/>
    <mergeCell ref="B55:D55"/>
    <mergeCell ref="B49:D49"/>
    <mergeCell ref="B50:D50"/>
    <mergeCell ref="B52:D52"/>
    <mergeCell ref="B53:D53"/>
    <mergeCell ref="B51:D51"/>
    <mergeCell ref="E49:F49"/>
    <mergeCell ref="E47:F47"/>
    <mergeCell ref="E48:F48"/>
    <mergeCell ref="E56:F56"/>
    <mergeCell ref="B56:D56"/>
    <mergeCell ref="B106:C106"/>
    <mergeCell ref="B93:C93"/>
    <mergeCell ref="B10:D10"/>
    <mergeCell ref="E10:F10"/>
    <mergeCell ref="E11:F11"/>
    <mergeCell ref="E50:F50"/>
    <mergeCell ref="E51:F51"/>
    <mergeCell ref="E52:F52"/>
    <mergeCell ref="E53:F53"/>
    <mergeCell ref="B73:D73"/>
    <mergeCell ref="E73:F73"/>
    <mergeCell ref="B65:D65"/>
    <mergeCell ref="B66:D66"/>
    <mergeCell ref="B91:K91"/>
    <mergeCell ref="E81:F81"/>
    <mergeCell ref="E85:F85"/>
    <mergeCell ref="E86:F86"/>
    <mergeCell ref="E87:F87"/>
    <mergeCell ref="E83:F83"/>
    <mergeCell ref="E69:F69"/>
    <mergeCell ref="E82:F82"/>
    <mergeCell ref="E71:F71"/>
  </mergeCells>
  <dataValidations xWindow="768" yWindow="930" count="3">
    <dataValidation type="list" allowBlank="1" showInputMessage="1" showErrorMessage="1" sqref="G11" xr:uid="{00000000-0002-0000-0100-000000000000}">
      <formula1>"1 = Vehicle &amp; station (default), 2 = Vehicle only"</formula1>
    </dataValidation>
    <dataValidation type="list" allowBlank="1" showInputMessage="1" showErrorMessage="1" sqref="G15" xr:uid="{00000000-0002-0000-0100-000001000000}">
      <formula1>"1 = Vehicle &amp; station coupled (default), 2 = Vehicle &amp; station decoupled"</formula1>
    </dataValidation>
    <dataValidation type="list" allowBlank="1" showInputMessage="1" showErrorMessage="1" sqref="G20" xr:uid="{00000000-0002-0000-0100-000002000000}">
      <formula1>"Yes, No (default)"</formula1>
    </dataValidation>
  </dataValidations>
  <hyperlinks>
    <hyperlink ref="J58" r:id="rId1" xr:uid="{00000000-0004-0000-0100-000000000000}"/>
    <hyperlink ref="J60" r:id="rId2" xr:uid="{00000000-0004-0000-0100-000001000000}"/>
    <hyperlink ref="J61" r:id="rId3" xr:uid="{00000000-0004-0000-0100-000002000000}"/>
    <hyperlink ref="J62" r:id="rId4" xr:uid="{00000000-0004-0000-0100-000003000000}"/>
    <hyperlink ref="J63" r:id="rId5" xr:uid="{00000000-0004-0000-0100-000004000000}"/>
    <hyperlink ref="J64" r:id="rId6" xr:uid="{00000000-0004-0000-0100-000005000000}"/>
    <hyperlink ref="J65" r:id="rId7" xr:uid="{00000000-0004-0000-0100-000006000000}"/>
    <hyperlink ref="J66" r:id="rId8" xr:uid="{00000000-0004-0000-0100-000007000000}"/>
    <hyperlink ref="J70" r:id="rId9" xr:uid="{00000000-0004-0000-0100-000008000000}"/>
    <hyperlink ref="J71" r:id="rId10" xr:uid="{00000000-0004-0000-0100-000009000000}"/>
    <hyperlink ref="J72" r:id="rId11" xr:uid="{00000000-0004-0000-0100-00000A000000}"/>
    <hyperlink ref="J73" r:id="rId12" xr:uid="{00000000-0004-0000-0100-00000B000000}"/>
    <hyperlink ref="J74" r:id="rId13" xr:uid="{00000000-0004-0000-0100-00000C000000}"/>
    <hyperlink ref="J77" r:id="rId14" xr:uid="{00000000-0004-0000-0100-00000D000000}"/>
    <hyperlink ref="J82" r:id="rId15" xr:uid="{00000000-0004-0000-0100-00000E000000}"/>
    <hyperlink ref="J85" r:id="rId16" xr:uid="{00000000-0004-0000-0100-00000F000000}"/>
    <hyperlink ref="J86" r:id="rId17" xr:uid="{00000000-0004-0000-0100-000010000000}"/>
    <hyperlink ref="J54" r:id="rId18" xr:uid="{00000000-0004-0000-0100-000011000000}"/>
    <hyperlink ref="D11" location="Info_1" display="(more info)" xr:uid="{00000000-0004-0000-0100-000012000000}"/>
    <hyperlink ref="D15" location="Info_2" display="(more info)" xr:uid="{00000000-0004-0000-0100-000013000000}"/>
    <hyperlink ref="D20" location="Info_3" display="(more info)" xr:uid="{00000000-0004-0000-0100-000014000000}"/>
  </hyperlinks>
  <pageMargins left="0.7" right="0.7" top="0.75" bottom="0.75" header="0.3" footer="0.3"/>
  <pageSetup orientation="portrait"/>
  <ignoredErrors>
    <ignoredError sqref="G87:G88 G67 G75" unlockedFormula="1"/>
  </ignoredErrors>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N160"/>
  <sheetViews>
    <sheetView showGridLines="0" workbookViewId="0"/>
  </sheetViews>
  <sheetFormatPr baseColWidth="10" defaultColWidth="8.83203125" defaultRowHeight="15" x14ac:dyDescent="0.2"/>
  <cols>
    <col min="1" max="1" width="5" customWidth="1"/>
    <col min="2" max="2" width="6.6640625" customWidth="1"/>
    <col min="3" max="3" width="23.1640625" customWidth="1"/>
    <col min="4" max="4" width="7.33203125" customWidth="1"/>
    <col min="5" max="5" width="1.1640625" customWidth="1"/>
    <col min="6" max="6" width="6" customWidth="1"/>
    <col min="7" max="7" width="11.1640625" customWidth="1"/>
    <col min="8" max="8" width="6.6640625" customWidth="1"/>
    <col min="9" max="9" width="14.6640625" customWidth="1"/>
    <col min="10" max="10" width="11.6640625" customWidth="1"/>
    <col min="11" max="11" width="11.1640625" customWidth="1"/>
    <col min="12" max="12" width="7.6640625" customWidth="1"/>
    <col min="13" max="13" width="10.6640625" customWidth="1"/>
    <col min="14" max="14" width="9.5" customWidth="1"/>
    <col min="15" max="40" width="11.33203125" customWidth="1"/>
  </cols>
  <sheetData>
    <row r="1" spans="1:40" ht="32.25" customHeight="1" x14ac:dyDescent="0.3">
      <c r="A1" s="195"/>
      <c r="B1" s="197" t="s">
        <v>276</v>
      </c>
    </row>
    <row r="2" spans="1:40" ht="24" customHeight="1" x14ac:dyDescent="0.25">
      <c r="B2" s="397" t="s">
        <v>292</v>
      </c>
      <c r="C2" s="397"/>
      <c r="D2" s="394" t="str">
        <f>IF(Project_Type=2,"Vehicle acquisition only, no infrastructure investment",IF(Invest_Type=1,"Combined vehicle and infrastructure investment (coupled)","Independent vehicle and infrastructure investment  (decoupled)"))</f>
        <v>Combined vehicle and infrastructure investment (coupled)</v>
      </c>
      <c r="E2" s="394"/>
      <c r="F2" s="394"/>
      <c r="G2" s="394"/>
      <c r="H2" s="394"/>
      <c r="I2" s="394"/>
      <c r="J2" s="394"/>
      <c r="K2" s="394"/>
      <c r="L2" s="394"/>
      <c r="M2" s="394"/>
      <c r="N2" s="394"/>
    </row>
    <row r="3" spans="1:40" ht="15" customHeight="1" x14ac:dyDescent="0.3">
      <c r="B3" s="209"/>
      <c r="C3" s="209"/>
      <c r="D3" s="209"/>
      <c r="E3" s="209"/>
      <c r="F3" s="209"/>
      <c r="G3" s="209"/>
      <c r="H3" s="209"/>
      <c r="I3" s="209"/>
      <c r="J3" s="209"/>
      <c r="K3" s="209"/>
      <c r="L3" s="209"/>
      <c r="M3" s="209"/>
      <c r="N3" s="209"/>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row>
    <row r="4" spans="1:40" ht="33.75" customHeight="1" x14ac:dyDescent="0.2">
      <c r="B4" s="387" t="s">
        <v>274</v>
      </c>
      <c r="C4" s="388"/>
      <c r="D4" s="388"/>
      <c r="E4" s="388"/>
      <c r="F4" s="388"/>
      <c r="G4" s="389"/>
      <c r="I4" s="376" t="s">
        <v>208</v>
      </c>
      <c r="J4" s="377"/>
      <c r="K4" s="376" t="s">
        <v>209</v>
      </c>
      <c r="L4" s="377"/>
      <c r="M4" s="395" t="s">
        <v>214</v>
      </c>
      <c r="N4" s="396"/>
    </row>
    <row r="5" spans="1:40" ht="16" x14ac:dyDescent="0.2">
      <c r="B5" s="383" t="s">
        <v>286</v>
      </c>
      <c r="C5" s="384"/>
      <c r="D5" s="384"/>
      <c r="E5" s="385"/>
      <c r="F5" s="390">
        <f>'Financial Calculations'!E35</f>
        <v>-0.38300000000000001</v>
      </c>
      <c r="G5" s="391"/>
      <c r="I5" s="392" t="s">
        <v>211</v>
      </c>
      <c r="J5" s="392"/>
      <c r="K5" s="386">
        <f>Inputs!Y95</f>
        <v>0</v>
      </c>
      <c r="L5" s="386"/>
      <c r="M5" s="393">
        <f>K5*(Inputs!E27-Inputs!K27)</f>
        <v>0</v>
      </c>
      <c r="N5" s="386"/>
    </row>
    <row r="6" spans="1:40" ht="16" x14ac:dyDescent="0.2">
      <c r="B6" s="383" t="s">
        <v>287</v>
      </c>
      <c r="C6" s="384"/>
      <c r="D6" s="384"/>
      <c r="E6" s="385"/>
      <c r="F6" s="399">
        <f>'Financial Calculations'!D41</f>
        <v>0</v>
      </c>
      <c r="G6" s="400"/>
      <c r="I6" s="392" t="s">
        <v>5</v>
      </c>
      <c r="J6" s="392"/>
      <c r="K6" s="386">
        <f>Inputs!Y96</f>
        <v>0</v>
      </c>
      <c r="L6" s="386"/>
      <c r="M6" s="393">
        <f>K6*(Inputs!E28-Inputs!K28)</f>
        <v>0</v>
      </c>
      <c r="N6" s="386"/>
    </row>
    <row r="7" spans="1:40" ht="16" x14ac:dyDescent="0.2">
      <c r="B7" s="383" t="s">
        <v>288</v>
      </c>
      <c r="C7" s="384"/>
      <c r="D7" s="384"/>
      <c r="E7" s="385"/>
      <c r="F7" s="399">
        <f>'Financial Calculations'!C92</f>
        <v>0</v>
      </c>
      <c r="G7" s="400"/>
      <c r="I7" s="392" t="s">
        <v>6</v>
      </c>
      <c r="J7" s="392"/>
      <c r="K7" s="386">
        <f>Inputs!Y97</f>
        <v>0</v>
      </c>
      <c r="L7" s="386"/>
      <c r="M7" s="393">
        <f>K7*(Inputs!E29-Inputs!K29)</f>
        <v>0</v>
      </c>
      <c r="N7" s="386"/>
    </row>
    <row r="8" spans="1:40" ht="16" x14ac:dyDescent="0.2">
      <c r="I8" s="392" t="s">
        <v>210</v>
      </c>
      <c r="J8" s="392"/>
      <c r="K8" s="386">
        <f>Inputs!Y98</f>
        <v>0</v>
      </c>
      <c r="L8" s="386"/>
      <c r="M8" s="393">
        <f>K8*(Inputs!E30-Inputs!K30)</f>
        <v>0</v>
      </c>
      <c r="N8" s="386"/>
    </row>
    <row r="9" spans="1:40" ht="24.75" customHeight="1" x14ac:dyDescent="0.2">
      <c r="B9" s="402" t="s">
        <v>285</v>
      </c>
      <c r="C9" s="403"/>
      <c r="D9" s="403"/>
      <c r="E9" s="403"/>
      <c r="F9" s="403"/>
      <c r="G9" s="404"/>
      <c r="I9" s="392" t="s">
        <v>7</v>
      </c>
      <c r="J9" s="392"/>
      <c r="K9" s="386">
        <f>Inputs!Y99</f>
        <v>0</v>
      </c>
      <c r="L9" s="386"/>
      <c r="M9" s="393">
        <f>K9*(Inputs!E31-Inputs!K31)</f>
        <v>0</v>
      </c>
      <c r="N9" s="386"/>
    </row>
    <row r="10" spans="1:40" ht="16.5" customHeight="1" x14ac:dyDescent="0.2">
      <c r="B10" s="378" t="s">
        <v>289</v>
      </c>
      <c r="C10" s="379"/>
      <c r="D10" s="379"/>
      <c r="E10" s="380"/>
      <c r="F10" s="381">
        <f>SUM('Financial Calculations'!E44:Y44)/GGE_DGE_Conv</f>
        <v>0</v>
      </c>
      <c r="G10" s="382"/>
      <c r="I10" s="401" t="s">
        <v>212</v>
      </c>
      <c r="J10" s="401"/>
      <c r="K10" s="386">
        <f>Inputs!Y100</f>
        <v>0</v>
      </c>
      <c r="L10" s="386"/>
      <c r="M10" s="393">
        <f>K10*(Inputs!E32-Inputs!K32)</f>
        <v>0</v>
      </c>
      <c r="N10" s="386"/>
    </row>
    <row r="11" spans="1:40" ht="17.25" customHeight="1" x14ac:dyDescent="0.2">
      <c r="B11" s="378" t="s">
        <v>290</v>
      </c>
      <c r="C11" s="379"/>
      <c r="D11" s="379"/>
      <c r="E11" s="380"/>
      <c r="F11" s="381">
        <f>SUM('Financial Calculations'!E45:Y45)</f>
        <v>0</v>
      </c>
      <c r="G11" s="382"/>
      <c r="I11" s="392" t="s">
        <v>213</v>
      </c>
      <c r="J11" s="392"/>
      <c r="K11" s="386">
        <f>Inputs!Y101</f>
        <v>0</v>
      </c>
      <c r="L11" s="386"/>
      <c r="M11" s="393">
        <f>K11*(Inputs!E33-Inputs!K33)</f>
        <v>0</v>
      </c>
      <c r="N11" s="386"/>
    </row>
    <row r="12" spans="1:40" ht="15.75" customHeight="1" x14ac:dyDescent="0.2">
      <c r="B12" s="378" t="s">
        <v>291</v>
      </c>
      <c r="C12" s="379"/>
      <c r="D12" s="379"/>
      <c r="E12" s="380"/>
      <c r="F12" s="381">
        <f>F10+F11</f>
        <v>0</v>
      </c>
      <c r="G12" s="382"/>
      <c r="I12" s="198"/>
      <c r="J12" s="198"/>
      <c r="K12" s="198"/>
      <c r="L12" s="198"/>
      <c r="M12" s="411">
        <f>SUM(M5:N11)</f>
        <v>0</v>
      </c>
      <c r="N12" s="292"/>
    </row>
    <row r="13" spans="1:40" ht="17.25" customHeight="1" x14ac:dyDescent="0.2">
      <c r="B13" s="408" t="s">
        <v>171</v>
      </c>
      <c r="C13" s="409"/>
      <c r="D13" s="409"/>
      <c r="E13" s="410"/>
      <c r="F13" s="381">
        <f>'Financial Calculations'!Y57</f>
        <v>0</v>
      </c>
      <c r="G13" s="382"/>
      <c r="I13" s="412" t="s">
        <v>215</v>
      </c>
      <c r="J13" s="413"/>
      <c r="K13" s="398">
        <f>IF(Project_Type=2,0,IF(Invest_Type=2,Inputs!Y107,Inputs!Y109))</f>
        <v>0</v>
      </c>
      <c r="L13" s="398"/>
      <c r="M13" s="405"/>
      <c r="N13" s="406"/>
    </row>
    <row r="14" spans="1:40" ht="18" customHeight="1" x14ac:dyDescent="0.2">
      <c r="I14" s="414"/>
      <c r="J14" s="415"/>
      <c r="K14" s="398"/>
      <c r="L14" s="398"/>
    </row>
    <row r="15" spans="1:40" ht="26.25" customHeight="1" x14ac:dyDescent="0.2"/>
    <row r="16" spans="1:40" ht="24" customHeight="1" x14ac:dyDescent="0.3">
      <c r="B16" s="375"/>
      <c r="C16" s="375"/>
      <c r="D16" s="375"/>
      <c r="E16" s="375"/>
      <c r="F16" s="375"/>
      <c r="G16" s="375"/>
      <c r="H16" s="375"/>
      <c r="I16" s="375"/>
      <c r="J16" s="375"/>
      <c r="K16" s="375"/>
      <c r="L16" s="375"/>
      <c r="M16" s="375"/>
      <c r="N16" s="375"/>
      <c r="O16" s="407"/>
      <c r="P16" s="407"/>
      <c r="Q16" s="407"/>
      <c r="R16" s="407"/>
      <c r="S16" s="407"/>
      <c r="T16" s="407"/>
      <c r="U16" s="407"/>
      <c r="V16" s="407"/>
      <c r="W16" s="407"/>
      <c r="X16" s="407"/>
      <c r="Y16" s="407"/>
      <c r="Z16" s="407"/>
      <c r="AA16" s="407"/>
      <c r="AB16" s="407"/>
      <c r="AC16" s="407"/>
      <c r="AD16" s="407"/>
      <c r="AE16" s="407"/>
      <c r="AF16" s="407"/>
      <c r="AG16" s="407"/>
      <c r="AH16" s="407"/>
      <c r="AI16" s="407"/>
      <c r="AJ16" s="407"/>
      <c r="AK16" s="407"/>
      <c r="AL16" s="407"/>
      <c r="AM16" s="407"/>
      <c r="AN16" s="407"/>
    </row>
    <row r="17" ht="24.75" customHeight="1" x14ac:dyDescent="0.2"/>
    <row r="78" spans="2:14" ht="19.5" customHeight="1" x14ac:dyDescent="0.2"/>
    <row r="79" spans="2:14" ht="19.5" customHeight="1" x14ac:dyDescent="0.2"/>
    <row r="80" spans="2:14" ht="33" customHeight="1" x14ac:dyDescent="0.3">
      <c r="B80" s="375"/>
      <c r="C80" s="375"/>
      <c r="D80" s="375"/>
      <c r="E80" s="375"/>
      <c r="F80" s="375"/>
      <c r="G80" s="375"/>
      <c r="H80" s="375"/>
      <c r="I80" s="375"/>
      <c r="J80" s="375"/>
      <c r="K80" s="375"/>
      <c r="L80" s="375"/>
      <c r="M80" s="375"/>
      <c r="N80" s="375"/>
    </row>
    <row r="82" spans="10:10" ht="16.5" customHeight="1" x14ac:dyDescent="0.2"/>
    <row r="83" spans="10:10" x14ac:dyDescent="0.2">
      <c r="J83" s="142"/>
    </row>
    <row r="88" spans="10:10" ht="18" customHeight="1" x14ac:dyDescent="0.2"/>
    <row r="91" spans="10:10" ht="33.75" customHeight="1" x14ac:dyDescent="0.2"/>
    <row r="146" spans="2:14" ht="24" x14ac:dyDescent="0.3">
      <c r="B146" s="375"/>
      <c r="C146" s="375"/>
      <c r="D146" s="375"/>
      <c r="E146" s="375"/>
      <c r="F146" s="375"/>
      <c r="G146" s="375"/>
      <c r="H146" s="375"/>
      <c r="I146" s="375"/>
      <c r="J146" s="375"/>
      <c r="K146" s="375"/>
      <c r="L146" s="375"/>
      <c r="M146" s="375"/>
      <c r="N146" s="375"/>
    </row>
    <row r="147" spans="2:14" ht="28.5" customHeight="1" x14ac:dyDescent="0.2"/>
    <row r="160" spans="2:14" ht="24" x14ac:dyDescent="0.3">
      <c r="B160" s="375"/>
      <c r="C160" s="375"/>
      <c r="D160" s="375"/>
      <c r="E160" s="375"/>
      <c r="F160" s="375"/>
      <c r="G160" s="375"/>
      <c r="H160" s="375"/>
      <c r="I160" s="375"/>
      <c r="J160" s="375"/>
      <c r="K160" s="375"/>
      <c r="L160" s="375"/>
      <c r="M160" s="375"/>
      <c r="N160" s="375"/>
    </row>
  </sheetData>
  <mergeCells count="52">
    <mergeCell ref="M13:N13"/>
    <mergeCell ref="M11:N11"/>
    <mergeCell ref="K7:L7"/>
    <mergeCell ref="K8:L8"/>
    <mergeCell ref="AB16:AN16"/>
    <mergeCell ref="O16:AA16"/>
    <mergeCell ref="B16:N16"/>
    <mergeCell ref="F11:G11"/>
    <mergeCell ref="F12:G12"/>
    <mergeCell ref="F13:G13"/>
    <mergeCell ref="B11:E11"/>
    <mergeCell ref="B12:E12"/>
    <mergeCell ref="B13:E13"/>
    <mergeCell ref="M12:N12"/>
    <mergeCell ref="I11:J11"/>
    <mergeCell ref="I13:J14"/>
    <mergeCell ref="K13:L14"/>
    <mergeCell ref="F6:G6"/>
    <mergeCell ref="F7:G7"/>
    <mergeCell ref="I10:J10"/>
    <mergeCell ref="I9:J9"/>
    <mergeCell ref="I8:J8"/>
    <mergeCell ref="B9:G9"/>
    <mergeCell ref="I7:J7"/>
    <mergeCell ref="K10:L10"/>
    <mergeCell ref="D2:N2"/>
    <mergeCell ref="M5:N5"/>
    <mergeCell ref="M6:N6"/>
    <mergeCell ref="M8:N8"/>
    <mergeCell ref="K9:L9"/>
    <mergeCell ref="M9:N9"/>
    <mergeCell ref="B7:E7"/>
    <mergeCell ref="M7:N7"/>
    <mergeCell ref="M4:N4"/>
    <mergeCell ref="B2:C2"/>
    <mergeCell ref="I4:J4"/>
    <mergeCell ref="B160:N160"/>
    <mergeCell ref="B80:N80"/>
    <mergeCell ref="K4:L4"/>
    <mergeCell ref="B10:E10"/>
    <mergeCell ref="F10:G10"/>
    <mergeCell ref="B5:E5"/>
    <mergeCell ref="B6:E6"/>
    <mergeCell ref="K5:L5"/>
    <mergeCell ref="K6:L6"/>
    <mergeCell ref="B4:G4"/>
    <mergeCell ref="F5:G5"/>
    <mergeCell ref="I5:J5"/>
    <mergeCell ref="I6:J6"/>
    <mergeCell ref="M10:N10"/>
    <mergeCell ref="B146:N146"/>
    <mergeCell ref="K11:L11"/>
  </mergeCells>
  <printOptions horizontalCentered="1"/>
  <pageMargins left="0.7" right="0.7" top="0.3" bottom="0.3" header="0.3" footer="0.3"/>
  <pageSetup scale="61" fitToWidth="3" orientation="portrait" r:id="rId1"/>
  <headerFooter>
    <oddFooter>&amp;Lwww.afdc.energy.gov&amp;C&amp;P&amp;RVICE Model 2.0</oddFooter>
  </headerFooter>
  <colBreaks count="2" manualBreakCount="2">
    <brk id="14" max="1048575" man="1"/>
    <brk id="27" max="104857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O249"/>
  <sheetViews>
    <sheetView showGridLines="0" zoomScale="90" zoomScaleNormal="90" zoomScaleSheetLayoutView="100" workbookViewId="0"/>
  </sheetViews>
  <sheetFormatPr baseColWidth="10" defaultColWidth="9.83203125" defaultRowHeight="15" x14ac:dyDescent="0.2"/>
  <cols>
    <col min="1" max="1" width="5.5" style="286" customWidth="1"/>
    <col min="2" max="2" width="3.5" customWidth="1"/>
    <col min="3" max="3" width="4.5" customWidth="1"/>
    <col min="11" max="11" width="15.83203125" customWidth="1"/>
    <col min="12" max="12" width="33.33203125" customWidth="1"/>
    <col min="13" max="13" width="2.33203125" customWidth="1"/>
    <col min="14" max="14" width="1.6640625" customWidth="1"/>
  </cols>
  <sheetData>
    <row r="1" spans="1:13" ht="32.25" customHeight="1" x14ac:dyDescent="0.35">
      <c r="C1" s="280" t="s">
        <v>272</v>
      </c>
      <c r="D1" s="256"/>
      <c r="E1" s="256"/>
      <c r="F1" s="256"/>
      <c r="G1" s="256"/>
      <c r="H1" s="256"/>
      <c r="I1" s="256"/>
      <c r="J1" s="256"/>
      <c r="K1" s="256"/>
      <c r="L1" s="256"/>
      <c r="M1" s="256"/>
    </row>
    <row r="2" spans="1:13" ht="0.75" customHeight="1" x14ac:dyDescent="0.2">
      <c r="C2" s="256"/>
      <c r="D2" s="256"/>
      <c r="E2" s="256"/>
      <c r="F2" s="256"/>
      <c r="G2" s="256"/>
      <c r="H2" s="256"/>
      <c r="I2" s="256"/>
      <c r="J2" s="256"/>
      <c r="K2" s="256"/>
      <c r="L2" s="256"/>
      <c r="M2" s="256"/>
    </row>
    <row r="3" spans="1:13" ht="38.25" customHeight="1" x14ac:dyDescent="0.25">
      <c r="C3" s="417" t="s">
        <v>324</v>
      </c>
      <c r="D3" s="417"/>
      <c r="E3" s="417"/>
      <c r="F3" s="417"/>
      <c r="G3" s="417"/>
      <c r="H3" s="417"/>
      <c r="I3" s="417"/>
      <c r="J3" s="417"/>
      <c r="K3" s="417"/>
      <c r="L3" s="417"/>
      <c r="M3" s="256"/>
    </row>
    <row r="4" spans="1:13" ht="8.25" customHeight="1" x14ac:dyDescent="0.2">
      <c r="C4" s="256"/>
      <c r="D4" s="256"/>
      <c r="E4" s="256"/>
      <c r="F4" s="256"/>
      <c r="G4" s="256"/>
      <c r="H4" s="256"/>
      <c r="I4" s="256"/>
      <c r="J4" s="256"/>
      <c r="K4" s="256"/>
      <c r="L4" s="256"/>
      <c r="M4" s="256"/>
    </row>
    <row r="5" spans="1:13" ht="30.75" customHeight="1" x14ac:dyDescent="0.2">
      <c r="C5" s="260" t="s">
        <v>379</v>
      </c>
      <c r="D5" s="261"/>
      <c r="E5" s="259"/>
      <c r="F5" s="259"/>
      <c r="G5" s="259"/>
      <c r="H5" s="259"/>
      <c r="I5" s="259"/>
      <c r="J5" s="259"/>
      <c r="K5" s="259"/>
      <c r="L5" s="259"/>
      <c r="M5" s="256"/>
    </row>
    <row r="6" spans="1:13" ht="3.75" hidden="1" customHeight="1" x14ac:dyDescent="0.2">
      <c r="C6" s="256"/>
      <c r="D6" s="256"/>
      <c r="E6" s="256"/>
      <c r="F6" s="256"/>
      <c r="G6" s="256"/>
      <c r="H6" s="256"/>
      <c r="I6" s="256"/>
      <c r="J6" s="256"/>
      <c r="K6" s="256"/>
      <c r="L6" s="256"/>
      <c r="M6" s="256"/>
    </row>
    <row r="7" spans="1:13" ht="25.5" customHeight="1" x14ac:dyDescent="0.2">
      <c r="C7" s="418" t="s">
        <v>325</v>
      </c>
      <c r="D7" s="418"/>
      <c r="E7" s="418"/>
      <c r="F7" s="418"/>
      <c r="G7" s="418"/>
      <c r="H7" s="418"/>
      <c r="I7" s="262"/>
      <c r="J7" s="262"/>
      <c r="K7" s="262"/>
      <c r="L7" s="262"/>
      <c r="M7" s="256"/>
    </row>
    <row r="8" spans="1:13" ht="30.75" customHeight="1" x14ac:dyDescent="0.25">
      <c r="C8" s="266" t="s">
        <v>352</v>
      </c>
      <c r="D8" s="258"/>
      <c r="E8" s="258"/>
      <c r="F8" s="258"/>
      <c r="G8" s="258"/>
      <c r="H8" s="258"/>
      <c r="I8" s="258"/>
      <c r="J8" s="257"/>
      <c r="K8" s="257"/>
      <c r="L8" s="257"/>
      <c r="M8" s="256"/>
    </row>
    <row r="9" spans="1:13" ht="10.5" customHeight="1" x14ac:dyDescent="0.2">
      <c r="C9" s="263"/>
      <c r="D9" s="257"/>
      <c r="E9" s="257"/>
      <c r="F9" s="257"/>
      <c r="G9" s="257"/>
      <c r="H9" s="257"/>
      <c r="I9" s="257"/>
      <c r="J9" s="257"/>
      <c r="K9" s="257"/>
      <c r="L9" s="257"/>
      <c r="M9" s="256"/>
    </row>
    <row r="10" spans="1:13" ht="19" x14ac:dyDescent="0.25">
      <c r="C10" s="267" t="s">
        <v>326</v>
      </c>
      <c r="D10" s="268"/>
      <c r="E10" s="268"/>
      <c r="F10" s="268"/>
      <c r="G10" s="268"/>
      <c r="H10" s="268"/>
      <c r="I10" s="268"/>
      <c r="J10" s="268"/>
      <c r="K10" s="268"/>
      <c r="L10" s="268"/>
      <c r="M10" s="269"/>
    </row>
    <row r="11" spans="1:13" ht="78.75" customHeight="1" x14ac:dyDescent="0.25">
      <c r="A11" s="285" t="s">
        <v>296</v>
      </c>
      <c r="B11" s="285"/>
      <c r="C11" s="419" t="s">
        <v>353</v>
      </c>
      <c r="D11" s="419"/>
      <c r="E11" s="419"/>
      <c r="F11" s="419"/>
      <c r="G11" s="419"/>
      <c r="H11" s="419"/>
      <c r="I11" s="419"/>
      <c r="J11" s="419"/>
      <c r="K11" s="419"/>
      <c r="L11" s="419"/>
      <c r="M11" s="269"/>
    </row>
    <row r="12" spans="1:13" ht="27.75" customHeight="1" x14ac:dyDescent="0.25">
      <c r="C12" s="267" t="s">
        <v>327</v>
      </c>
      <c r="D12" s="268"/>
      <c r="E12" s="268"/>
      <c r="F12" s="268"/>
      <c r="G12" s="268"/>
      <c r="H12" s="268"/>
      <c r="I12" s="268"/>
      <c r="J12" s="268"/>
      <c r="K12" s="268"/>
      <c r="L12" s="268"/>
      <c r="M12" s="269"/>
    </row>
    <row r="13" spans="1:13" ht="84" customHeight="1" x14ac:dyDescent="0.2">
      <c r="C13" s="419" t="s">
        <v>354</v>
      </c>
      <c r="D13" s="419"/>
      <c r="E13" s="419"/>
      <c r="F13" s="419"/>
      <c r="G13" s="419"/>
      <c r="H13" s="419"/>
      <c r="I13" s="419"/>
      <c r="J13" s="419"/>
      <c r="K13" s="419"/>
      <c r="L13" s="419"/>
      <c r="M13" s="419"/>
    </row>
    <row r="14" spans="1:13" ht="24.75" customHeight="1" x14ac:dyDescent="0.25">
      <c r="C14" s="270" t="s">
        <v>328</v>
      </c>
      <c r="D14" s="269"/>
      <c r="E14" s="269"/>
      <c r="F14" s="269"/>
      <c r="G14" s="269"/>
      <c r="H14" s="269"/>
      <c r="I14" s="269"/>
      <c r="J14" s="269"/>
      <c r="K14" s="269"/>
      <c r="L14" s="269"/>
      <c r="M14" s="269"/>
    </row>
    <row r="15" spans="1:13" ht="7.5" hidden="1" customHeight="1" x14ac:dyDescent="0.25">
      <c r="C15" s="269"/>
      <c r="D15" s="269"/>
      <c r="E15" s="269"/>
      <c r="F15" s="269"/>
      <c r="G15" s="269"/>
      <c r="H15" s="269"/>
      <c r="I15" s="269"/>
      <c r="J15" s="269"/>
      <c r="K15" s="269"/>
      <c r="L15" s="269"/>
      <c r="M15" s="269"/>
    </row>
    <row r="16" spans="1:13" ht="19" x14ac:dyDescent="0.25">
      <c r="A16" s="285" t="s">
        <v>296</v>
      </c>
      <c r="B16" s="282"/>
      <c r="C16" s="287"/>
      <c r="D16" s="420" t="s">
        <v>329</v>
      </c>
      <c r="E16" s="420"/>
      <c r="F16" s="420"/>
      <c r="G16" s="420"/>
      <c r="H16" s="420"/>
      <c r="I16" s="420"/>
      <c r="J16" s="420"/>
      <c r="K16" s="420"/>
      <c r="L16" s="420"/>
      <c r="M16" s="269"/>
    </row>
    <row r="17" spans="3:15" ht="144.75" customHeight="1" x14ac:dyDescent="0.25">
      <c r="C17" s="269"/>
      <c r="D17" s="419" t="s">
        <v>355</v>
      </c>
      <c r="E17" s="419"/>
      <c r="F17" s="419"/>
      <c r="G17" s="419"/>
      <c r="H17" s="419"/>
      <c r="I17" s="419"/>
      <c r="J17" s="419"/>
      <c r="K17" s="419"/>
      <c r="L17" s="419"/>
      <c r="M17" s="269"/>
    </row>
    <row r="18" spans="3:15" ht="21.75" customHeight="1" x14ac:dyDescent="0.25">
      <c r="C18" s="269"/>
      <c r="D18" s="420" t="s">
        <v>330</v>
      </c>
      <c r="E18" s="420"/>
      <c r="F18" s="420"/>
      <c r="G18" s="420"/>
      <c r="H18" s="420"/>
      <c r="I18" s="420"/>
      <c r="J18" s="420"/>
      <c r="K18" s="420"/>
      <c r="L18" s="420"/>
      <c r="M18" s="269"/>
    </row>
    <row r="19" spans="3:15" ht="174" customHeight="1" x14ac:dyDescent="0.25">
      <c r="C19" s="269"/>
      <c r="D19" s="416" t="s">
        <v>384</v>
      </c>
      <c r="E19" s="416"/>
      <c r="F19" s="416"/>
      <c r="G19" s="416"/>
      <c r="H19" s="416"/>
      <c r="I19" s="416"/>
      <c r="J19" s="416"/>
      <c r="K19" s="416"/>
      <c r="L19" s="416"/>
      <c r="M19" s="269"/>
    </row>
    <row r="20" spans="3:15" ht="27.75" customHeight="1" x14ac:dyDescent="0.25">
      <c r="C20" s="269"/>
      <c r="D20" s="269"/>
      <c r="E20" s="269"/>
      <c r="F20" s="269"/>
      <c r="G20" s="269"/>
      <c r="H20" s="269"/>
      <c r="I20" s="269"/>
      <c r="J20" s="269"/>
      <c r="K20" s="269"/>
      <c r="L20" s="269"/>
      <c r="M20" s="269"/>
    </row>
    <row r="21" spans="3:15" ht="23.25" customHeight="1" x14ac:dyDescent="0.25">
      <c r="C21" s="421" t="s">
        <v>331</v>
      </c>
      <c r="D21" s="421"/>
      <c r="E21" s="421"/>
      <c r="F21" s="421"/>
      <c r="G21" s="421"/>
      <c r="H21" s="421"/>
      <c r="I21" s="421"/>
      <c r="J21" s="421"/>
      <c r="K21" s="421"/>
      <c r="L21" s="421"/>
      <c r="M21" s="269"/>
    </row>
    <row r="22" spans="3:15" ht="139.5" customHeight="1" x14ac:dyDescent="0.25">
      <c r="C22" s="416" t="s">
        <v>332</v>
      </c>
      <c r="D22" s="416"/>
      <c r="E22" s="416"/>
      <c r="F22" s="416"/>
      <c r="G22" s="416"/>
      <c r="H22" s="416"/>
      <c r="I22" s="416"/>
      <c r="J22" s="416"/>
      <c r="K22" s="416"/>
      <c r="L22" s="416"/>
      <c r="M22" s="269"/>
    </row>
    <row r="23" spans="3:15" ht="12.75" customHeight="1" x14ac:dyDescent="0.25">
      <c r="C23" s="269"/>
      <c r="D23" s="269"/>
      <c r="E23" s="269"/>
      <c r="F23" s="269"/>
      <c r="G23" s="269"/>
      <c r="H23" s="269"/>
      <c r="I23" s="269"/>
      <c r="J23" s="269"/>
      <c r="K23" s="269"/>
      <c r="L23" s="269"/>
      <c r="M23" s="269"/>
    </row>
    <row r="24" spans="3:15" ht="26.25" customHeight="1" x14ac:dyDescent="0.25">
      <c r="C24" s="418" t="s">
        <v>333</v>
      </c>
      <c r="D24" s="418"/>
      <c r="E24" s="418"/>
      <c r="F24" s="418"/>
      <c r="G24" s="418"/>
      <c r="H24" s="418"/>
      <c r="I24" s="418"/>
      <c r="J24" s="418"/>
      <c r="K24" s="418"/>
      <c r="L24" s="418"/>
      <c r="M24" s="269"/>
      <c r="O24" s="279"/>
    </row>
    <row r="25" spans="3:15" ht="160.5" customHeight="1" x14ac:dyDescent="0.25">
      <c r="C25" s="416" t="s">
        <v>389</v>
      </c>
      <c r="D25" s="416"/>
      <c r="E25" s="416"/>
      <c r="F25" s="416"/>
      <c r="G25" s="416"/>
      <c r="H25" s="416"/>
      <c r="I25" s="416"/>
      <c r="J25" s="416"/>
      <c r="K25" s="416"/>
      <c r="L25" s="416"/>
      <c r="M25" s="269"/>
    </row>
    <row r="26" spans="3:15" ht="28.5" customHeight="1" x14ac:dyDescent="0.25">
      <c r="C26" s="419" t="s">
        <v>383</v>
      </c>
      <c r="D26" s="419"/>
      <c r="E26" s="419"/>
      <c r="F26" s="419"/>
      <c r="G26" s="419"/>
      <c r="H26" s="419"/>
      <c r="I26" s="419"/>
      <c r="J26" s="419"/>
      <c r="K26" s="419"/>
      <c r="L26" s="419"/>
      <c r="M26" s="269"/>
    </row>
    <row r="27" spans="3:15" ht="81.75" customHeight="1" x14ac:dyDescent="0.25">
      <c r="C27" s="269"/>
      <c r="D27" s="423" t="s">
        <v>386</v>
      </c>
      <c r="E27" s="423"/>
      <c r="F27" s="423"/>
      <c r="G27" s="423"/>
      <c r="H27" s="423"/>
      <c r="I27" s="423"/>
      <c r="J27" s="423"/>
      <c r="K27" s="423"/>
      <c r="L27" s="423"/>
      <c r="M27" s="269"/>
      <c r="O27" s="278"/>
    </row>
    <row r="28" spans="3:15" ht="49.5" customHeight="1" x14ac:dyDescent="0.25">
      <c r="C28" s="269"/>
      <c r="D28" s="423" t="s">
        <v>390</v>
      </c>
      <c r="E28" s="423"/>
      <c r="F28" s="423"/>
      <c r="G28" s="423"/>
      <c r="H28" s="423"/>
      <c r="I28" s="423"/>
      <c r="J28" s="423"/>
      <c r="K28" s="423"/>
      <c r="L28" s="423"/>
      <c r="M28" s="269"/>
    </row>
    <row r="29" spans="3:15" ht="83.25" customHeight="1" x14ac:dyDescent="0.25">
      <c r="C29" s="269"/>
      <c r="D29" s="423" t="s">
        <v>391</v>
      </c>
      <c r="E29" s="423"/>
      <c r="F29" s="423"/>
      <c r="G29" s="423"/>
      <c r="H29" s="423"/>
      <c r="I29" s="423"/>
      <c r="J29" s="423"/>
      <c r="K29" s="423"/>
      <c r="L29" s="423"/>
      <c r="M29" s="269"/>
    </row>
    <row r="30" spans="3:15" ht="63.75" customHeight="1" x14ac:dyDescent="0.25">
      <c r="C30" s="269"/>
      <c r="D30" s="423" t="s">
        <v>358</v>
      </c>
      <c r="E30" s="423"/>
      <c r="F30" s="423"/>
      <c r="G30" s="423"/>
      <c r="H30" s="423"/>
      <c r="I30" s="423"/>
      <c r="J30" s="423"/>
      <c r="K30" s="423"/>
      <c r="L30" s="423"/>
      <c r="M30" s="269"/>
    </row>
    <row r="31" spans="3:15" ht="64.5" customHeight="1" x14ac:dyDescent="0.25">
      <c r="C31" s="269"/>
      <c r="D31" s="423" t="s">
        <v>356</v>
      </c>
      <c r="E31" s="423"/>
      <c r="F31" s="423"/>
      <c r="G31" s="423"/>
      <c r="H31" s="423"/>
      <c r="I31" s="423"/>
      <c r="J31" s="423"/>
      <c r="K31" s="423"/>
      <c r="L31" s="423"/>
      <c r="M31" s="269"/>
      <c r="O31" s="279"/>
    </row>
    <row r="32" spans="3:15" ht="86.25" customHeight="1" x14ac:dyDescent="0.25">
      <c r="C32" s="269"/>
      <c r="D32" s="423" t="s">
        <v>336</v>
      </c>
      <c r="E32" s="423"/>
      <c r="F32" s="423"/>
      <c r="G32" s="423"/>
      <c r="H32" s="423"/>
      <c r="I32" s="423"/>
      <c r="J32" s="423"/>
      <c r="K32" s="423"/>
      <c r="L32" s="423"/>
      <c r="M32" s="269"/>
    </row>
    <row r="33" spans="1:13" ht="15.75" customHeight="1" x14ac:dyDescent="0.25">
      <c r="C33" s="271"/>
      <c r="D33" s="271"/>
      <c r="E33" s="271"/>
      <c r="F33" s="271"/>
      <c r="G33" s="271"/>
      <c r="H33" s="271"/>
      <c r="I33" s="271"/>
      <c r="J33" s="271"/>
      <c r="K33" s="271"/>
      <c r="L33" s="271"/>
      <c r="M33" s="271"/>
    </row>
    <row r="34" spans="1:13" ht="27" customHeight="1" x14ac:dyDescent="0.25">
      <c r="C34" s="424" t="s">
        <v>361</v>
      </c>
      <c r="D34" s="424"/>
      <c r="E34" s="424"/>
      <c r="F34" s="424"/>
      <c r="G34" s="424"/>
      <c r="H34" s="424"/>
      <c r="I34" s="424"/>
      <c r="J34" s="424"/>
      <c r="K34" s="424"/>
      <c r="L34" s="424"/>
      <c r="M34" s="271"/>
    </row>
    <row r="35" spans="1:13" ht="105" customHeight="1" x14ac:dyDescent="0.25">
      <c r="C35" s="422" t="s">
        <v>362</v>
      </c>
      <c r="D35" s="422"/>
      <c r="E35" s="422"/>
      <c r="F35" s="422"/>
      <c r="G35" s="422"/>
      <c r="H35" s="422"/>
      <c r="I35" s="422"/>
      <c r="J35" s="422"/>
      <c r="K35" s="422"/>
      <c r="L35" s="422"/>
      <c r="M35" s="271"/>
    </row>
    <row r="36" spans="1:13" ht="16.5" customHeight="1" x14ac:dyDescent="0.25">
      <c r="C36" s="422" t="s">
        <v>387</v>
      </c>
      <c r="D36" s="422"/>
      <c r="E36" s="422"/>
      <c r="F36" s="422"/>
      <c r="G36" s="422"/>
      <c r="H36" s="422"/>
      <c r="I36" s="422"/>
      <c r="J36" s="422"/>
      <c r="K36" s="422"/>
      <c r="L36" s="422"/>
      <c r="M36" s="271"/>
    </row>
    <row r="37" spans="1:13" ht="8.25" customHeight="1" x14ac:dyDescent="0.25">
      <c r="C37" s="271"/>
      <c r="D37" s="271"/>
      <c r="E37" s="271"/>
      <c r="F37" s="271"/>
      <c r="G37" s="271"/>
      <c r="H37" s="271"/>
      <c r="I37" s="271"/>
      <c r="J37" s="271"/>
      <c r="K37" s="271"/>
      <c r="L37" s="271"/>
      <c r="M37" s="271"/>
    </row>
    <row r="38" spans="1:13" ht="26.25" customHeight="1" x14ac:dyDescent="0.25">
      <c r="C38" s="425" t="s">
        <v>224</v>
      </c>
      <c r="D38" s="425"/>
      <c r="E38" s="425"/>
      <c r="F38" s="425"/>
      <c r="G38" s="425"/>
      <c r="H38" s="425"/>
      <c r="I38" s="425"/>
      <c r="J38" s="425"/>
      <c r="K38" s="425"/>
      <c r="L38" s="425"/>
      <c r="M38" s="271"/>
    </row>
    <row r="39" spans="1:13" ht="98.25" customHeight="1" x14ac:dyDescent="0.25">
      <c r="C39" s="272"/>
      <c r="D39" s="426" t="s">
        <v>363</v>
      </c>
      <c r="E39" s="426"/>
      <c r="F39" s="426"/>
      <c r="G39" s="426"/>
      <c r="H39" s="426"/>
      <c r="I39" s="426"/>
      <c r="J39" s="426"/>
      <c r="K39" s="426"/>
      <c r="L39" s="426"/>
      <c r="M39" s="271"/>
    </row>
    <row r="40" spans="1:13" ht="71.25" customHeight="1" x14ac:dyDescent="0.25">
      <c r="C40" s="272"/>
      <c r="D40" s="426" t="s">
        <v>364</v>
      </c>
      <c r="E40" s="426"/>
      <c r="F40" s="426"/>
      <c r="G40" s="426"/>
      <c r="H40" s="426"/>
      <c r="I40" s="426"/>
      <c r="J40" s="426"/>
      <c r="K40" s="426"/>
      <c r="L40" s="426"/>
      <c r="M40" s="271"/>
    </row>
    <row r="41" spans="1:13" ht="64.5" customHeight="1" x14ac:dyDescent="0.25">
      <c r="C41" s="272"/>
      <c r="D41" s="426" t="s">
        <v>381</v>
      </c>
      <c r="E41" s="426"/>
      <c r="F41" s="426"/>
      <c r="G41" s="426"/>
      <c r="H41" s="426"/>
      <c r="I41" s="426"/>
      <c r="J41" s="426"/>
      <c r="K41" s="426"/>
      <c r="L41" s="426"/>
      <c r="M41" s="271"/>
    </row>
    <row r="42" spans="1:13" ht="60" customHeight="1" x14ac:dyDescent="0.25">
      <c r="C42" s="271"/>
      <c r="D42" s="426" t="s">
        <v>365</v>
      </c>
      <c r="E42" s="426"/>
      <c r="F42" s="426"/>
      <c r="G42" s="426"/>
      <c r="H42" s="426"/>
      <c r="I42" s="426"/>
      <c r="J42" s="426"/>
      <c r="K42" s="426"/>
      <c r="L42" s="426"/>
      <c r="M42" s="271"/>
    </row>
    <row r="43" spans="1:13" ht="15.75" customHeight="1" x14ac:dyDescent="0.25">
      <c r="C43" s="271"/>
      <c r="D43" s="271"/>
      <c r="E43" s="271"/>
      <c r="F43" s="271"/>
      <c r="G43" s="271"/>
      <c r="H43" s="271"/>
      <c r="I43" s="271"/>
      <c r="J43" s="271"/>
      <c r="K43" s="271"/>
      <c r="L43" s="271"/>
      <c r="M43" s="271"/>
    </row>
    <row r="44" spans="1:13" ht="19.5" customHeight="1" x14ac:dyDescent="0.25">
      <c r="A44" s="285" t="s">
        <v>296</v>
      </c>
      <c r="B44" s="282"/>
      <c r="C44" s="276" t="s">
        <v>226</v>
      </c>
      <c r="D44" s="271"/>
      <c r="E44" s="271"/>
      <c r="F44" s="271"/>
      <c r="G44" s="271"/>
      <c r="H44" s="271"/>
      <c r="I44" s="271"/>
      <c r="J44" s="271"/>
      <c r="K44" s="271"/>
      <c r="L44" s="271"/>
      <c r="M44" s="271"/>
    </row>
    <row r="45" spans="1:13" ht="141" customHeight="1" x14ac:dyDescent="0.25">
      <c r="C45" s="271"/>
      <c r="D45" s="426" t="s">
        <v>382</v>
      </c>
      <c r="E45" s="426"/>
      <c r="F45" s="426"/>
      <c r="G45" s="426"/>
      <c r="H45" s="426"/>
      <c r="I45" s="426"/>
      <c r="J45" s="426"/>
      <c r="K45" s="426"/>
      <c r="L45" s="426"/>
      <c r="M45" s="271"/>
    </row>
    <row r="46" spans="1:13" ht="64.5" customHeight="1" x14ac:dyDescent="0.25">
      <c r="C46" s="271"/>
      <c r="D46" s="427" t="s">
        <v>392</v>
      </c>
      <c r="E46" s="427"/>
      <c r="F46" s="427"/>
      <c r="G46" s="427"/>
      <c r="H46" s="427"/>
      <c r="I46" s="427"/>
      <c r="J46" s="427"/>
      <c r="K46" s="427"/>
      <c r="L46" s="427"/>
      <c r="M46" s="271"/>
    </row>
    <row r="47" spans="1:13" ht="73.5" customHeight="1" x14ac:dyDescent="0.25">
      <c r="C47" s="271"/>
      <c r="D47" s="427" t="s">
        <v>393</v>
      </c>
      <c r="E47" s="427"/>
      <c r="F47" s="427"/>
      <c r="G47" s="427"/>
      <c r="H47" s="427"/>
      <c r="I47" s="427"/>
      <c r="J47" s="427"/>
      <c r="K47" s="427"/>
      <c r="L47" s="427"/>
      <c r="M47" s="271"/>
    </row>
    <row r="48" spans="1:13" ht="87.75" customHeight="1" x14ac:dyDescent="0.25">
      <c r="C48" s="271"/>
      <c r="D48" s="427" t="s">
        <v>366</v>
      </c>
      <c r="E48" s="427"/>
      <c r="F48" s="427"/>
      <c r="G48" s="427"/>
      <c r="H48" s="427"/>
      <c r="I48" s="427"/>
      <c r="J48" s="427"/>
      <c r="K48" s="427"/>
      <c r="L48" s="427"/>
      <c r="M48" s="271"/>
    </row>
    <row r="49" spans="2:13" ht="64.5" customHeight="1" x14ac:dyDescent="0.25">
      <c r="C49" s="271"/>
      <c r="D49" s="427" t="s">
        <v>394</v>
      </c>
      <c r="E49" s="427"/>
      <c r="F49" s="427"/>
      <c r="G49" s="427"/>
      <c r="H49" s="427"/>
      <c r="I49" s="427"/>
      <c r="J49" s="427"/>
      <c r="K49" s="427"/>
      <c r="L49" s="427"/>
      <c r="M49" s="271"/>
    </row>
    <row r="50" spans="2:13" ht="67.5" customHeight="1" x14ac:dyDescent="0.25">
      <c r="C50" s="271"/>
      <c r="D50" s="427" t="s">
        <v>337</v>
      </c>
      <c r="E50" s="427"/>
      <c r="F50" s="427"/>
      <c r="G50" s="427"/>
      <c r="H50" s="427"/>
      <c r="I50" s="427"/>
      <c r="J50" s="427"/>
      <c r="K50" s="427"/>
      <c r="L50" s="427"/>
      <c r="M50" s="271"/>
    </row>
    <row r="51" spans="2:13" ht="65.25" customHeight="1" x14ac:dyDescent="0.25">
      <c r="C51" s="271"/>
      <c r="D51" s="427" t="s">
        <v>338</v>
      </c>
      <c r="E51" s="427"/>
      <c r="F51" s="427"/>
      <c r="G51" s="427"/>
      <c r="H51" s="427"/>
      <c r="I51" s="427"/>
      <c r="J51" s="427"/>
      <c r="K51" s="427"/>
      <c r="L51" s="427"/>
      <c r="M51" s="271"/>
    </row>
    <row r="52" spans="2:13" ht="63.75" customHeight="1" x14ac:dyDescent="0.25">
      <c r="C52" s="271"/>
      <c r="D52" s="427" t="s">
        <v>339</v>
      </c>
      <c r="E52" s="427"/>
      <c r="F52" s="427"/>
      <c r="G52" s="427"/>
      <c r="H52" s="427"/>
      <c r="I52" s="427"/>
      <c r="J52" s="427"/>
      <c r="K52" s="427"/>
      <c r="L52" s="427"/>
      <c r="M52" s="271"/>
    </row>
    <row r="53" spans="2:13" ht="105.75" customHeight="1" x14ac:dyDescent="0.25">
      <c r="C53" s="271"/>
      <c r="D53" s="427" t="s">
        <v>367</v>
      </c>
      <c r="E53" s="427"/>
      <c r="F53" s="427"/>
      <c r="G53" s="427"/>
      <c r="H53" s="427"/>
      <c r="I53" s="427"/>
      <c r="J53" s="427"/>
      <c r="K53" s="427"/>
      <c r="L53" s="427"/>
      <c r="M53" s="271"/>
    </row>
    <row r="54" spans="2:13" ht="84" customHeight="1" x14ac:dyDescent="0.25">
      <c r="B54" s="224"/>
      <c r="C54" s="271"/>
      <c r="D54" s="427" t="s">
        <v>340</v>
      </c>
      <c r="E54" s="427"/>
      <c r="F54" s="427"/>
      <c r="G54" s="427"/>
      <c r="H54" s="427"/>
      <c r="I54" s="427"/>
      <c r="J54" s="427"/>
      <c r="K54" s="427"/>
      <c r="L54" s="427"/>
      <c r="M54" s="271"/>
    </row>
    <row r="55" spans="2:13" ht="63.75" customHeight="1" x14ac:dyDescent="0.25">
      <c r="C55" s="271"/>
      <c r="D55" s="427" t="s">
        <v>395</v>
      </c>
      <c r="E55" s="427"/>
      <c r="F55" s="427"/>
      <c r="G55" s="427"/>
      <c r="H55" s="427"/>
      <c r="I55" s="427"/>
      <c r="J55" s="427"/>
      <c r="K55" s="427"/>
      <c r="L55" s="427"/>
      <c r="M55" s="271"/>
    </row>
    <row r="56" spans="2:13" ht="63" customHeight="1" x14ac:dyDescent="0.25">
      <c r="C56" s="271"/>
      <c r="D56" s="427" t="s">
        <v>396</v>
      </c>
      <c r="E56" s="427"/>
      <c r="F56" s="427"/>
      <c r="G56" s="427"/>
      <c r="H56" s="427"/>
      <c r="I56" s="427"/>
      <c r="J56" s="427"/>
      <c r="K56" s="427"/>
      <c r="L56" s="427"/>
      <c r="M56" s="271"/>
    </row>
    <row r="57" spans="2:13" ht="63" customHeight="1" x14ac:dyDescent="0.25">
      <c r="C57" s="271"/>
      <c r="D57" s="427" t="s">
        <v>341</v>
      </c>
      <c r="E57" s="427"/>
      <c r="F57" s="427"/>
      <c r="G57" s="427"/>
      <c r="H57" s="427"/>
      <c r="I57" s="427"/>
      <c r="J57" s="427"/>
      <c r="K57" s="427"/>
      <c r="L57" s="427"/>
      <c r="M57" s="271"/>
    </row>
    <row r="58" spans="2:13" ht="64.5" customHeight="1" x14ac:dyDescent="0.25">
      <c r="C58" s="271"/>
      <c r="D58" s="427" t="s">
        <v>368</v>
      </c>
      <c r="E58" s="427"/>
      <c r="F58" s="427"/>
      <c r="G58" s="427"/>
      <c r="H58" s="427"/>
      <c r="I58" s="427"/>
      <c r="J58" s="427"/>
      <c r="K58" s="427"/>
      <c r="L58" s="427"/>
      <c r="M58" s="271"/>
    </row>
    <row r="59" spans="2:13" ht="76.5" customHeight="1" x14ac:dyDescent="0.25">
      <c r="C59" s="271"/>
      <c r="D59" s="427" t="s">
        <v>342</v>
      </c>
      <c r="E59" s="427"/>
      <c r="F59" s="427"/>
      <c r="G59" s="427"/>
      <c r="H59" s="427"/>
      <c r="I59" s="427"/>
      <c r="J59" s="427"/>
      <c r="K59" s="427"/>
      <c r="L59" s="427"/>
      <c r="M59" s="271"/>
    </row>
    <row r="60" spans="2:13" ht="48.75" customHeight="1" x14ac:dyDescent="0.25">
      <c r="C60" s="277" t="s">
        <v>225</v>
      </c>
      <c r="D60" s="271"/>
      <c r="E60" s="271"/>
      <c r="F60" s="271"/>
      <c r="G60" s="271"/>
      <c r="H60" s="271"/>
      <c r="I60" s="271"/>
      <c r="J60" s="271"/>
      <c r="K60" s="271"/>
      <c r="L60" s="271"/>
      <c r="M60" s="271"/>
    </row>
    <row r="61" spans="2:13" ht="84" customHeight="1" x14ac:dyDescent="0.25">
      <c r="C61" s="271"/>
      <c r="D61" s="427" t="s">
        <v>370</v>
      </c>
      <c r="E61" s="427"/>
      <c r="F61" s="427"/>
      <c r="G61" s="427"/>
      <c r="H61" s="427"/>
      <c r="I61" s="427"/>
      <c r="J61" s="427"/>
      <c r="K61" s="427"/>
      <c r="L61" s="427"/>
      <c r="M61" s="271"/>
    </row>
    <row r="62" spans="2:13" ht="47.25" customHeight="1" x14ac:dyDescent="0.25">
      <c r="C62" s="271"/>
      <c r="D62" s="427" t="s">
        <v>369</v>
      </c>
      <c r="E62" s="427"/>
      <c r="F62" s="427"/>
      <c r="G62" s="427"/>
      <c r="H62" s="427"/>
      <c r="I62" s="427"/>
      <c r="J62" s="427"/>
      <c r="K62" s="427"/>
      <c r="L62" s="427"/>
      <c r="M62" s="271"/>
    </row>
    <row r="63" spans="2:13" ht="66.75" customHeight="1" x14ac:dyDescent="0.25">
      <c r="C63" s="271"/>
      <c r="D63" s="427" t="s">
        <v>371</v>
      </c>
      <c r="E63" s="427"/>
      <c r="F63" s="427"/>
      <c r="G63" s="427"/>
      <c r="H63" s="427"/>
      <c r="I63" s="427"/>
      <c r="J63" s="427"/>
      <c r="K63" s="427"/>
      <c r="L63" s="427"/>
      <c r="M63" s="271"/>
    </row>
    <row r="64" spans="2:13" ht="60" customHeight="1" x14ac:dyDescent="0.25">
      <c r="C64" s="271"/>
      <c r="D64" s="427" t="s">
        <v>372</v>
      </c>
      <c r="E64" s="427"/>
      <c r="F64" s="427"/>
      <c r="G64" s="427"/>
      <c r="H64" s="427"/>
      <c r="I64" s="427"/>
      <c r="J64" s="427"/>
      <c r="K64" s="427"/>
      <c r="L64" s="427"/>
      <c r="M64" s="271"/>
    </row>
    <row r="65" spans="2:13" ht="29.25" customHeight="1" x14ac:dyDescent="0.25">
      <c r="C65" s="276" t="s">
        <v>227</v>
      </c>
      <c r="D65" s="271"/>
      <c r="E65" s="271"/>
      <c r="F65" s="271"/>
      <c r="G65" s="271"/>
      <c r="H65" s="271"/>
      <c r="I65" s="271"/>
      <c r="J65" s="271"/>
      <c r="K65" s="271"/>
      <c r="L65" s="271"/>
      <c r="M65" s="271"/>
    </row>
    <row r="66" spans="2:13" ht="162" customHeight="1" x14ac:dyDescent="0.25">
      <c r="C66" s="271"/>
      <c r="D66" s="426" t="s">
        <v>373</v>
      </c>
      <c r="E66" s="426"/>
      <c r="F66" s="426"/>
      <c r="G66" s="426"/>
      <c r="H66" s="426"/>
      <c r="I66" s="426"/>
      <c r="J66" s="426"/>
      <c r="K66" s="426"/>
      <c r="L66" s="426"/>
      <c r="M66" s="271"/>
    </row>
    <row r="67" spans="2:13" ht="106.5" customHeight="1" x14ac:dyDescent="0.25">
      <c r="C67" s="271"/>
      <c r="D67" s="427" t="s">
        <v>374</v>
      </c>
      <c r="E67" s="427"/>
      <c r="F67" s="427"/>
      <c r="G67" s="427"/>
      <c r="H67" s="427"/>
      <c r="I67" s="427"/>
      <c r="J67" s="427"/>
      <c r="K67" s="427"/>
      <c r="L67" s="427"/>
      <c r="M67" s="271"/>
    </row>
    <row r="68" spans="2:13" ht="27" customHeight="1" x14ac:dyDescent="0.25">
      <c r="C68" s="264" t="s">
        <v>343</v>
      </c>
      <c r="D68" s="273"/>
      <c r="E68" s="273"/>
      <c r="F68" s="273"/>
      <c r="G68" s="273"/>
      <c r="H68" s="273"/>
      <c r="I68" s="273"/>
      <c r="J68" s="273"/>
      <c r="K68" s="273"/>
      <c r="L68" s="273"/>
      <c r="M68" s="271"/>
    </row>
    <row r="69" spans="2:13" ht="135" customHeight="1" x14ac:dyDescent="0.25">
      <c r="C69" s="428" t="s">
        <v>388</v>
      </c>
      <c r="D69" s="428"/>
      <c r="E69" s="428"/>
      <c r="F69" s="428"/>
      <c r="G69" s="428"/>
      <c r="H69" s="428"/>
      <c r="I69" s="428"/>
      <c r="J69" s="428"/>
      <c r="K69" s="428"/>
      <c r="L69" s="428"/>
      <c r="M69" s="271"/>
    </row>
    <row r="70" spans="2:13" ht="25.5" customHeight="1" x14ac:dyDescent="0.25">
      <c r="C70" s="264" t="s">
        <v>344</v>
      </c>
      <c r="D70" s="273"/>
      <c r="E70" s="273"/>
      <c r="F70" s="273"/>
      <c r="G70" s="273"/>
      <c r="H70" s="273"/>
      <c r="I70" s="273"/>
      <c r="J70" s="273"/>
      <c r="K70" s="273"/>
      <c r="L70" s="273"/>
      <c r="M70" s="271"/>
    </row>
    <row r="71" spans="2:13" ht="143.25" customHeight="1" x14ac:dyDescent="0.25">
      <c r="C71" s="428" t="s">
        <v>375</v>
      </c>
      <c r="D71" s="428"/>
      <c r="E71" s="428"/>
      <c r="F71" s="428"/>
      <c r="G71" s="428"/>
      <c r="H71" s="428"/>
      <c r="I71" s="428"/>
      <c r="J71" s="428"/>
      <c r="K71" s="428"/>
      <c r="L71" s="428"/>
      <c r="M71" s="271"/>
    </row>
    <row r="72" spans="2:13" ht="84" customHeight="1" x14ac:dyDescent="0.25">
      <c r="C72" s="428" t="s">
        <v>334</v>
      </c>
      <c r="D72" s="428"/>
      <c r="E72" s="428"/>
      <c r="F72" s="428"/>
      <c r="G72" s="428"/>
      <c r="H72" s="428"/>
      <c r="I72" s="428"/>
      <c r="J72" s="428"/>
      <c r="K72" s="428"/>
      <c r="L72" s="428"/>
      <c r="M72" s="271"/>
    </row>
    <row r="73" spans="2:13" ht="19" x14ac:dyDescent="0.25">
      <c r="C73" s="271"/>
      <c r="D73" s="271"/>
      <c r="E73" s="271"/>
      <c r="F73" s="271"/>
      <c r="G73" s="271"/>
      <c r="H73" s="271"/>
      <c r="I73" s="271"/>
      <c r="J73" s="271"/>
      <c r="K73" s="271"/>
      <c r="L73" s="271"/>
      <c r="M73" s="271"/>
    </row>
    <row r="74" spans="2:13" ht="24" x14ac:dyDescent="0.3">
      <c r="B74" s="256"/>
      <c r="C74" s="265" t="s">
        <v>380</v>
      </c>
      <c r="D74" s="274"/>
      <c r="E74" s="274"/>
      <c r="F74" s="274"/>
      <c r="G74" s="274"/>
      <c r="H74" s="274"/>
      <c r="I74" s="274"/>
      <c r="J74" s="274"/>
      <c r="K74" s="274"/>
      <c r="L74" s="274"/>
      <c r="M74" s="271"/>
    </row>
    <row r="75" spans="2:13" ht="6.75" customHeight="1" x14ac:dyDescent="0.25">
      <c r="C75" s="271"/>
      <c r="D75" s="271"/>
      <c r="E75" s="271"/>
      <c r="F75" s="271"/>
      <c r="G75" s="271"/>
      <c r="H75" s="271"/>
      <c r="I75" s="271"/>
      <c r="J75" s="271"/>
      <c r="K75" s="271"/>
      <c r="L75" s="271"/>
      <c r="M75" s="271"/>
    </row>
    <row r="76" spans="2:13" ht="17.25" customHeight="1" x14ac:dyDescent="0.25">
      <c r="C76" s="428" t="s">
        <v>376</v>
      </c>
      <c r="D76" s="428"/>
      <c r="E76" s="428"/>
      <c r="F76" s="428"/>
      <c r="G76" s="428"/>
      <c r="H76" s="428"/>
      <c r="I76" s="428"/>
      <c r="J76" s="428"/>
      <c r="K76" s="428"/>
      <c r="L76" s="428"/>
      <c r="M76" s="271"/>
    </row>
    <row r="77" spans="2:13" ht="12" customHeight="1" x14ac:dyDescent="0.25">
      <c r="C77" s="275"/>
      <c r="D77" s="271"/>
      <c r="E77" s="271"/>
      <c r="F77" s="271"/>
      <c r="G77" s="271"/>
      <c r="H77" s="271"/>
      <c r="I77" s="271"/>
      <c r="J77" s="271"/>
      <c r="K77" s="271"/>
      <c r="L77" s="271"/>
      <c r="M77" s="271"/>
    </row>
    <row r="78" spans="2:13" ht="107.25" customHeight="1" x14ac:dyDescent="0.25">
      <c r="C78" s="428" t="s">
        <v>385</v>
      </c>
      <c r="D78" s="428"/>
      <c r="E78" s="428"/>
      <c r="F78" s="428"/>
      <c r="G78" s="428"/>
      <c r="H78" s="428"/>
      <c r="I78" s="428"/>
      <c r="J78" s="428"/>
      <c r="K78" s="428"/>
      <c r="L78" s="428"/>
      <c r="M78" s="271"/>
    </row>
    <row r="79" spans="2:13" ht="19" hidden="1" x14ac:dyDescent="0.25">
      <c r="C79" s="275"/>
      <c r="D79" s="271"/>
      <c r="E79" s="271"/>
      <c r="F79" s="271"/>
      <c r="G79" s="271"/>
      <c r="H79" s="271"/>
      <c r="I79" s="271"/>
      <c r="J79" s="271"/>
      <c r="K79" s="271"/>
      <c r="L79" s="271"/>
      <c r="M79" s="271"/>
    </row>
    <row r="80" spans="2:13" ht="30" customHeight="1" x14ac:dyDescent="0.25">
      <c r="C80" s="429" t="s">
        <v>335</v>
      </c>
      <c r="D80" s="429"/>
      <c r="E80" s="429"/>
      <c r="F80" s="429"/>
      <c r="G80" s="429"/>
      <c r="H80" s="429"/>
      <c r="I80" s="429"/>
      <c r="J80" s="429"/>
      <c r="K80" s="429"/>
      <c r="L80" s="429"/>
      <c r="M80" s="271"/>
    </row>
    <row r="81" spans="2:13" ht="24.75" customHeight="1" x14ac:dyDescent="0.25">
      <c r="C81" s="428" t="s">
        <v>349</v>
      </c>
      <c r="D81" s="427"/>
      <c r="E81" s="427"/>
      <c r="F81" s="427"/>
      <c r="G81" s="427"/>
      <c r="H81" s="427"/>
      <c r="I81" s="427"/>
      <c r="J81" s="427"/>
      <c r="K81" s="427"/>
      <c r="L81" s="427"/>
      <c r="M81" s="271"/>
    </row>
    <row r="82" spans="2:13" ht="26.25" customHeight="1" x14ac:dyDescent="0.25">
      <c r="C82" s="428" t="s">
        <v>346</v>
      </c>
      <c r="D82" s="427"/>
      <c r="E82" s="427"/>
      <c r="F82" s="427"/>
      <c r="G82" s="427"/>
      <c r="H82" s="427"/>
      <c r="I82" s="427"/>
      <c r="J82" s="427"/>
      <c r="K82" s="427"/>
      <c r="L82" s="427"/>
      <c r="M82" s="271"/>
    </row>
    <row r="83" spans="2:13" ht="26.25" customHeight="1" x14ac:dyDescent="0.25">
      <c r="C83" s="428" t="s">
        <v>347</v>
      </c>
      <c r="D83" s="428"/>
      <c r="E83" s="428"/>
      <c r="F83" s="428"/>
      <c r="G83" s="428"/>
      <c r="H83" s="428"/>
      <c r="I83" s="428"/>
      <c r="J83" s="428"/>
      <c r="K83" s="428"/>
      <c r="L83" s="428"/>
      <c r="M83" s="271"/>
    </row>
    <row r="84" spans="2:13" ht="17.25" customHeight="1" x14ac:dyDescent="0.25">
      <c r="C84" s="427" t="s">
        <v>345</v>
      </c>
      <c r="D84" s="427"/>
      <c r="E84" s="427"/>
      <c r="F84" s="427"/>
      <c r="G84" s="427"/>
      <c r="H84" s="427"/>
      <c r="I84" s="427"/>
      <c r="J84" s="427"/>
      <c r="K84" s="427"/>
      <c r="L84" s="427"/>
      <c r="M84" s="271"/>
    </row>
    <row r="85" spans="2:13" ht="28.5" customHeight="1" x14ac:dyDescent="0.25">
      <c r="C85" s="271" t="s">
        <v>348</v>
      </c>
      <c r="D85" s="271"/>
      <c r="E85" s="271"/>
      <c r="F85" s="271"/>
      <c r="G85" s="271"/>
      <c r="H85" s="271"/>
      <c r="I85" s="271"/>
    </row>
    <row r="94" spans="2:13" x14ac:dyDescent="0.2">
      <c r="B94" s="224"/>
    </row>
    <row r="95" spans="2:13" x14ac:dyDescent="0.2">
      <c r="L95" t="s">
        <v>278</v>
      </c>
    </row>
    <row r="102" spans="2:2" x14ac:dyDescent="0.2">
      <c r="B102" s="224"/>
    </row>
    <row r="123" spans="1:2" x14ac:dyDescent="0.2">
      <c r="A123" s="286" t="s">
        <v>295</v>
      </c>
      <c r="B123" s="224"/>
    </row>
    <row r="124" spans="1:2" ht="24.75" customHeight="1" x14ac:dyDescent="0.2"/>
    <row r="191" spans="1:2" x14ac:dyDescent="0.2">
      <c r="A191" s="286" t="s">
        <v>295</v>
      </c>
      <c r="B191" s="224"/>
    </row>
    <row r="210" spans="1:2" x14ac:dyDescent="0.2">
      <c r="A210" s="286" t="s">
        <v>295</v>
      </c>
      <c r="B210" s="224"/>
    </row>
    <row r="227" spans="1:2" x14ac:dyDescent="0.2">
      <c r="A227" s="286" t="s">
        <v>295</v>
      </c>
      <c r="B227" s="224"/>
    </row>
    <row r="234" spans="1:2" x14ac:dyDescent="0.2">
      <c r="A234" s="286" t="s">
        <v>295</v>
      </c>
      <c r="B234" s="224"/>
    </row>
    <row r="249" spans="1:2" x14ac:dyDescent="0.2">
      <c r="A249" s="286" t="s">
        <v>295</v>
      </c>
      <c r="B249" s="224"/>
    </row>
  </sheetData>
  <mergeCells count="58">
    <mergeCell ref="C84:L84"/>
    <mergeCell ref="C72:L72"/>
    <mergeCell ref="C76:L76"/>
    <mergeCell ref="C78:L78"/>
    <mergeCell ref="C80:L80"/>
    <mergeCell ref="C81:L81"/>
    <mergeCell ref="C82:L82"/>
    <mergeCell ref="C83:L83"/>
    <mergeCell ref="C71:L71"/>
    <mergeCell ref="D56:L56"/>
    <mergeCell ref="D57:L57"/>
    <mergeCell ref="D58:L58"/>
    <mergeCell ref="D59:L59"/>
    <mergeCell ref="D61:L61"/>
    <mergeCell ref="D62:L62"/>
    <mergeCell ref="D63:L63"/>
    <mergeCell ref="D64:L64"/>
    <mergeCell ref="D66:L66"/>
    <mergeCell ref="D67:L67"/>
    <mergeCell ref="C69:L69"/>
    <mergeCell ref="D55:L55"/>
    <mergeCell ref="D42:L42"/>
    <mergeCell ref="D45:L45"/>
    <mergeCell ref="D46:L46"/>
    <mergeCell ref="D47:L47"/>
    <mergeCell ref="D48:L48"/>
    <mergeCell ref="D49:L49"/>
    <mergeCell ref="D50:L50"/>
    <mergeCell ref="D51:L51"/>
    <mergeCell ref="D52:L52"/>
    <mergeCell ref="D53:L53"/>
    <mergeCell ref="D54:L54"/>
    <mergeCell ref="C36:L36"/>
    <mergeCell ref="C38:L38"/>
    <mergeCell ref="D39:L39"/>
    <mergeCell ref="D40:L40"/>
    <mergeCell ref="D41:L41"/>
    <mergeCell ref="C35:L35"/>
    <mergeCell ref="C24:L24"/>
    <mergeCell ref="C25:L25"/>
    <mergeCell ref="C26:L26"/>
    <mergeCell ref="D27:L27"/>
    <mergeCell ref="D28:L28"/>
    <mergeCell ref="D29:L29"/>
    <mergeCell ref="D30:L30"/>
    <mergeCell ref="D31:L31"/>
    <mergeCell ref="D32:L32"/>
    <mergeCell ref="C34:L34"/>
    <mergeCell ref="C22:L22"/>
    <mergeCell ref="C3:L3"/>
    <mergeCell ref="C7:H7"/>
    <mergeCell ref="C11:L11"/>
    <mergeCell ref="C13:M13"/>
    <mergeCell ref="D16:L16"/>
    <mergeCell ref="D17:L17"/>
    <mergeCell ref="D18:L18"/>
    <mergeCell ref="D19:L19"/>
    <mergeCell ref="C21:L21"/>
  </mergeCells>
  <hyperlinks>
    <hyperlink ref="A11" location="Info_loc_1" display="" xr:uid="{00000000-0004-0000-0300-000000000000}"/>
    <hyperlink ref="A16" location="Info_loc_2" display="back" xr:uid="{00000000-0004-0000-0300-000001000000}"/>
    <hyperlink ref="A44" location="Info_loc_3" display="back" xr:uid="{00000000-0004-0000-0300-000002000000}"/>
  </hyperlinks>
  <pageMargins left="1.2" right="0.7" top="1" bottom="1" header="0.55000000000000004" footer="0.55000000000000004"/>
  <pageSetup scale="56" orientation="portrait" r:id="rId1"/>
  <headerFooter>
    <oddHeader>&amp;R&amp;14&amp;K01+042Vice Model 2.0</oddHeader>
    <oddFooter>&amp;L&amp;14&amp;K01+046www.afdc.energy.gov&amp;C&amp;14&amp;K01+047&amp;P&amp;R&amp;14&amp;K01+046January 17, 2014</oddFooter>
  </headerFooter>
  <rowBreaks count="6" manualBreakCount="6">
    <brk id="25" min="1" max="12" man="1"/>
    <brk id="46" min="1" max="12" man="1"/>
    <brk id="63" min="1" max="12" man="1"/>
    <brk id="122" max="10" man="1"/>
    <brk id="178" max="10" man="1"/>
    <brk id="234" max="10"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B1:B17"/>
  <sheetViews>
    <sheetView showGridLines="0" zoomScale="110" zoomScaleNormal="110" workbookViewId="0"/>
  </sheetViews>
  <sheetFormatPr baseColWidth="10" defaultColWidth="8.83203125" defaultRowHeight="15" x14ac:dyDescent="0.2"/>
  <cols>
    <col min="1" max="1" width="4" customWidth="1"/>
    <col min="8" max="8" width="31.83203125" customWidth="1"/>
    <col min="9" max="9" width="2.6640625" customWidth="1"/>
    <col min="10" max="10" width="0.5" customWidth="1"/>
    <col min="11" max="11" width="0.6640625" customWidth="1"/>
  </cols>
  <sheetData>
    <row r="1" spans="2:2" ht="33.75" customHeight="1" x14ac:dyDescent="0.3">
      <c r="B1" s="197"/>
    </row>
    <row r="17" ht="10.5" customHeight="1" x14ac:dyDescent="0.2"/>
  </sheetData>
  <pageMargins left="0.7" right="0.7" top="0.75" bottom="0.75" header="0.3" footer="0.3"/>
  <pageSetup orientation="portrait" r:id="rId1"/>
  <headerFooter>
    <oddHeader>&amp;RVice Model 2.0</oddHeader>
    <oddFooter>&amp;Lwww.afdc.energy.gov&amp;C&amp;P&amp;RJanurary 14, 2014</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6"/>
  <sheetViews>
    <sheetView showGridLines="0" workbookViewId="0"/>
  </sheetViews>
  <sheetFormatPr baseColWidth="10" defaultColWidth="8.83203125" defaultRowHeight="15" x14ac:dyDescent="0.2"/>
  <cols>
    <col min="1" max="1" width="1" customWidth="1"/>
    <col min="2" max="3" width="26" customWidth="1"/>
    <col min="4" max="24" width="17" customWidth="1"/>
    <col min="26" max="26" width="10.5" bestFit="1" customWidth="1"/>
  </cols>
  <sheetData>
    <row r="1" spans="2:25" ht="34.5" customHeight="1" x14ac:dyDescent="0.3">
      <c r="B1" s="197" t="s">
        <v>264</v>
      </c>
    </row>
    <row r="2" spans="2:25" ht="16" x14ac:dyDescent="0.2">
      <c r="B2" s="534" t="s">
        <v>398</v>
      </c>
    </row>
    <row r="4" spans="2:25" ht="15" customHeight="1" x14ac:dyDescent="0.2">
      <c r="B4" s="473" t="s">
        <v>141</v>
      </c>
      <c r="C4" s="473"/>
      <c r="D4" s="473"/>
      <c r="E4" s="473"/>
      <c r="F4" s="473"/>
      <c r="G4" s="473"/>
      <c r="H4" s="473"/>
      <c r="I4" s="473"/>
      <c r="J4" s="473"/>
      <c r="K4" s="473"/>
    </row>
    <row r="5" spans="2:25" ht="15.75" customHeight="1" x14ac:dyDescent="0.2">
      <c r="B5" s="473"/>
      <c r="C5" s="473"/>
      <c r="D5" s="473"/>
      <c r="E5" s="473"/>
      <c r="F5" s="473"/>
      <c r="G5" s="473"/>
      <c r="H5" s="473"/>
      <c r="I5" s="473"/>
      <c r="J5" s="473"/>
      <c r="K5" s="473"/>
      <c r="L5" s="45"/>
      <c r="M5" s="45"/>
      <c r="N5" s="45"/>
      <c r="O5" s="45"/>
      <c r="P5" s="45"/>
      <c r="Q5" s="45"/>
      <c r="R5" s="45"/>
      <c r="S5" s="45"/>
      <c r="T5" s="45"/>
      <c r="U5" s="45"/>
      <c r="V5" s="45"/>
      <c r="W5" s="45"/>
      <c r="X5" s="45"/>
      <c r="Y5" s="45"/>
    </row>
    <row r="6" spans="2:25" ht="16" x14ac:dyDescent="0.2">
      <c r="B6" s="291"/>
      <c r="C6" s="465"/>
      <c r="D6" s="292"/>
      <c r="E6" s="70" t="s">
        <v>4</v>
      </c>
      <c r="F6" s="70" t="s">
        <v>5</v>
      </c>
      <c r="G6" s="70" t="s">
        <v>6</v>
      </c>
      <c r="H6" s="70" t="s">
        <v>110</v>
      </c>
      <c r="I6" s="70" t="s">
        <v>7</v>
      </c>
      <c r="J6" s="70" t="s">
        <v>111</v>
      </c>
      <c r="K6" s="70" t="s">
        <v>134</v>
      </c>
      <c r="L6" s="10"/>
      <c r="M6" s="10"/>
      <c r="N6" s="10"/>
      <c r="O6" s="10"/>
      <c r="P6" s="10"/>
      <c r="Q6" s="10"/>
      <c r="R6" s="10"/>
      <c r="S6" s="10"/>
      <c r="T6" s="10"/>
      <c r="U6" s="10"/>
      <c r="V6" s="10"/>
      <c r="W6" s="10"/>
      <c r="X6" s="10"/>
      <c r="Y6" s="10"/>
    </row>
    <row r="7" spans="2:25" x14ac:dyDescent="0.2">
      <c r="B7" s="474" t="s">
        <v>24</v>
      </c>
      <c r="C7" s="475"/>
      <c r="D7" s="476"/>
      <c r="E7" s="25">
        <f>(Inputs!$E$27-Inputs!$K$27)</f>
        <v>50502</v>
      </c>
      <c r="F7" s="27">
        <f>(Inputs!$E$28-Inputs!$K$28)</f>
        <v>31376</v>
      </c>
      <c r="G7" s="25">
        <f>(Inputs!$E$29-Inputs!$K$29)</f>
        <v>30295</v>
      </c>
      <c r="H7" s="27">
        <f>(Inputs!$E$30-Inputs!$K$30)</f>
        <v>17500</v>
      </c>
      <c r="I7" s="28">
        <f>(Inputs!$E$31-Inputs!$K$31)</f>
        <v>15000</v>
      </c>
      <c r="J7" s="27">
        <f>(Inputs!$E$32-Inputs!$K$32)</f>
        <v>10000</v>
      </c>
      <c r="K7" s="28">
        <f>(Inputs!$E$33-Inputs!$K$33)</f>
        <v>8000</v>
      </c>
      <c r="L7" s="46"/>
      <c r="M7" s="46"/>
      <c r="N7" s="46"/>
      <c r="O7" s="46"/>
      <c r="P7" s="46"/>
      <c r="Q7" s="46"/>
      <c r="R7" s="46"/>
      <c r="S7" s="46"/>
      <c r="T7" s="46"/>
      <c r="U7" s="46"/>
      <c r="V7" s="46"/>
      <c r="W7" s="46"/>
      <c r="X7" s="46"/>
      <c r="Y7" s="46"/>
    </row>
    <row r="8" spans="2:25" x14ac:dyDescent="0.2">
      <c r="B8" s="467" t="s">
        <v>297</v>
      </c>
      <c r="C8" s="468"/>
      <c r="D8" s="469"/>
      <c r="E8" s="133">
        <f>(tb_vmt/cng_mpg_tb)/12</f>
        <v>935.98803157626696</v>
      </c>
      <c r="F8" s="133">
        <f>(sb_vmt/cng_mpg_sb)/12</f>
        <v>163.26530612244898</v>
      </c>
      <c r="G8" s="133">
        <f>(tt_vmt/cng_mpg_tt)/12</f>
        <v>831.33812184091528</v>
      </c>
      <c r="H8" s="133">
        <f>(ps_vmt/cng_mpg_ps)/12</f>
        <v>329.05613687028682</v>
      </c>
      <c r="I8" s="133">
        <f>(dt_vmt/cng_mpg_dt)/12</f>
        <v>179.58092007722419</v>
      </c>
      <c r="J8" s="133">
        <f>(PU_vmt/cng_mpg_pu)/12</f>
        <v>84.838148488600879</v>
      </c>
      <c r="K8" s="133">
        <f>(PC_VMT/cng_mpg_pc)/12</f>
        <v>301.96367049587747</v>
      </c>
      <c r="L8" s="47"/>
      <c r="M8" s="47"/>
      <c r="N8" s="47"/>
      <c r="O8" s="47"/>
      <c r="P8" s="47"/>
      <c r="Q8" s="47"/>
      <c r="R8" s="47"/>
      <c r="S8" s="47"/>
      <c r="T8" s="47"/>
      <c r="U8" s="47"/>
      <c r="V8" s="47"/>
      <c r="W8" s="47"/>
      <c r="X8" s="47"/>
      <c r="Y8" s="47"/>
    </row>
    <row r="9" spans="2:25" x14ac:dyDescent="0.2">
      <c r="B9" s="474" t="s">
        <v>63</v>
      </c>
      <c r="C9" s="475"/>
      <c r="D9" s="476"/>
      <c r="E9" s="26">
        <f t="shared" ref="E9:K9" si="0">IF(E8=0,0,(FF_Slope*E8)+FF_Offset)</f>
        <v>315231.87939266616</v>
      </c>
      <c r="F9" s="105">
        <f t="shared" si="0"/>
        <v>285751.73469387757</v>
      </c>
      <c r="G9" s="26">
        <f t="shared" si="0"/>
        <v>311239.38068635279</v>
      </c>
      <c r="H9" s="105">
        <f t="shared" si="0"/>
        <v>292076.82067773829</v>
      </c>
      <c r="I9" s="26">
        <f t="shared" si="0"/>
        <v>286374.19168186618</v>
      </c>
      <c r="J9" s="105">
        <f t="shared" si="0"/>
        <v>282759.6602029886</v>
      </c>
      <c r="K9" s="26">
        <f t="shared" si="0"/>
        <v>291043.2159930882</v>
      </c>
      <c r="L9" s="48"/>
      <c r="M9" s="48"/>
      <c r="N9" s="48"/>
      <c r="O9" s="48"/>
      <c r="P9" s="48"/>
      <c r="Q9" s="48"/>
      <c r="R9" s="48"/>
      <c r="S9" s="48"/>
      <c r="T9" s="48"/>
      <c r="U9" s="48"/>
      <c r="V9" s="48"/>
      <c r="W9" s="48"/>
      <c r="X9" s="48"/>
      <c r="Y9" s="48"/>
    </row>
    <row r="10" spans="2:25" x14ac:dyDescent="0.2">
      <c r="B10" s="467" t="s">
        <v>64</v>
      </c>
      <c r="C10" s="468"/>
      <c r="D10" s="469"/>
      <c r="E10" s="134">
        <f t="shared" ref="E10:K10" si="1">IF(E8=0,0,IF(E8&lt;300001,((-0.000000225*(E8^2))+(0.1257*E8)+7014.3),(24489+(0.006*(E8-300000)))))</f>
        <v>7131.7565790102044</v>
      </c>
      <c r="F10" s="134">
        <f t="shared" si="1"/>
        <v>7034.8164514785503</v>
      </c>
      <c r="G10" s="134">
        <f t="shared" si="1"/>
        <v>7118.6436992240178</v>
      </c>
      <c r="H10" s="134">
        <f t="shared" si="1"/>
        <v>7055.6379938678228</v>
      </c>
      <c r="I10" s="134">
        <f t="shared" si="1"/>
        <v>7036.866065559665</v>
      </c>
      <c r="J10" s="134">
        <f t="shared" si="1"/>
        <v>7024.9625358249432</v>
      </c>
      <c r="K10" s="134">
        <f t="shared" si="1"/>
        <v>7052.2363174182146</v>
      </c>
      <c r="L10" s="48"/>
      <c r="M10" s="48"/>
      <c r="N10" s="48"/>
      <c r="O10" s="48"/>
      <c r="P10" s="48"/>
      <c r="Q10" s="48"/>
      <c r="R10" s="48"/>
      <c r="S10" s="48"/>
      <c r="T10" s="48"/>
      <c r="U10" s="48"/>
      <c r="V10" s="48"/>
      <c r="W10" s="48"/>
      <c r="X10" s="48"/>
      <c r="Y10" s="48"/>
    </row>
    <row r="11" spans="2:25" x14ac:dyDescent="0.2">
      <c r="B11" s="470" t="s">
        <v>132</v>
      </c>
      <c r="C11" s="471"/>
      <c r="D11" s="472"/>
      <c r="E11" s="29">
        <f>(0.1552*E8)+27.186</f>
        <v>172.45134250063666</v>
      </c>
      <c r="F11" s="66">
        <f t="shared" ref="F11:K11" si="2">(0.1552*F8)+27.186</f>
        <v>52.52477551020408</v>
      </c>
      <c r="G11" s="29">
        <f t="shared" si="2"/>
        <v>156.20967650971005</v>
      </c>
      <c r="H11" s="66">
        <f t="shared" si="2"/>
        <v>78.255512442268525</v>
      </c>
      <c r="I11" s="29">
        <f t="shared" si="2"/>
        <v>55.056958795985196</v>
      </c>
      <c r="J11" s="66">
        <f t="shared" si="2"/>
        <v>40.352880645430858</v>
      </c>
      <c r="K11" s="29">
        <f t="shared" si="2"/>
        <v>74.050761660960177</v>
      </c>
      <c r="L11" s="48"/>
      <c r="M11" s="48"/>
      <c r="N11" s="48"/>
      <c r="O11" s="48"/>
      <c r="P11" s="48"/>
      <c r="Q11" s="48"/>
      <c r="R11" s="48"/>
      <c r="S11" s="48"/>
      <c r="T11" s="48"/>
      <c r="U11" s="48"/>
      <c r="V11" s="48"/>
      <c r="W11" s="48"/>
      <c r="X11" s="48"/>
      <c r="Y11" s="48"/>
    </row>
    <row r="12" spans="2:25" x14ac:dyDescent="0.2">
      <c r="B12" s="467" t="s">
        <v>65</v>
      </c>
      <c r="C12" s="468"/>
      <c r="D12" s="469"/>
      <c r="E12" s="24">
        <f>tb_vmt*CNG_Maint_Costs</f>
        <v>18348.72</v>
      </c>
      <c r="F12" s="24">
        <f>sb_vmt*CNG_Maint_Costs</f>
        <v>6240</v>
      </c>
      <c r="G12" s="24">
        <f>tt_vmt*CNG_Maint_Costs</f>
        <v>13000</v>
      </c>
      <c r="H12" s="24">
        <f>ps_vmt*CNG_LDV_Maint_Costs</f>
        <v>1159.96</v>
      </c>
      <c r="I12" s="24">
        <f>dt_vmt*CNG_LDV_Maint_Costs</f>
        <v>633.04300000000001</v>
      </c>
      <c r="J12" s="24">
        <f>PU_vmt*CNG_LDV_Maint_Costs</f>
        <v>629.84699999999998</v>
      </c>
      <c r="K12" s="24">
        <f>PC_VMT*CNG_LDV_Maint_Costs</f>
        <v>2661.14</v>
      </c>
      <c r="L12" s="48"/>
      <c r="M12" s="48"/>
      <c r="N12" s="48"/>
      <c r="O12" s="48"/>
      <c r="P12" s="48"/>
      <c r="Q12" s="48"/>
      <c r="R12" s="48"/>
      <c r="S12" s="48"/>
      <c r="T12" s="48"/>
      <c r="U12" s="48"/>
      <c r="V12" s="48"/>
      <c r="W12" s="48"/>
      <c r="X12" s="48"/>
      <c r="Y12" s="48"/>
    </row>
    <row r="13" spans="2:25" x14ac:dyDescent="0.2">
      <c r="B13" s="470" t="s">
        <v>67</v>
      </c>
      <c r="C13" s="471"/>
      <c r="D13" s="472"/>
      <c r="E13" s="52">
        <f>(tb_vmt/diesel_mpg_tb)/12</f>
        <v>864.85294117647061</v>
      </c>
      <c r="F13" s="67">
        <f>(sb_vmt/diesel_mpg_sb)/12</f>
        <v>142.85714285714286</v>
      </c>
      <c r="G13" s="52">
        <f>(tt_vmt/diesel_mpg_tt)/12</f>
        <v>744.04761904761915</v>
      </c>
      <c r="H13" s="67">
        <v>0</v>
      </c>
      <c r="I13" s="52">
        <v>0</v>
      </c>
      <c r="J13" s="67">
        <v>0</v>
      </c>
      <c r="K13" s="52">
        <v>0</v>
      </c>
      <c r="L13" s="47"/>
      <c r="M13" s="47"/>
      <c r="N13" s="47"/>
      <c r="O13" s="47"/>
      <c r="P13" s="47"/>
      <c r="Q13" s="47"/>
      <c r="R13" s="47"/>
      <c r="S13" s="47"/>
      <c r="T13" s="47"/>
      <c r="U13" s="47"/>
      <c r="V13" s="47"/>
      <c r="W13" s="47"/>
      <c r="X13" s="47"/>
      <c r="Y13" s="47"/>
    </row>
    <row r="14" spans="2:25" x14ac:dyDescent="0.2">
      <c r="B14" s="467" t="s">
        <v>66</v>
      </c>
      <c r="C14" s="468"/>
      <c r="D14" s="469"/>
      <c r="E14" s="24">
        <f>tb_vmt*Diesel_Maint</f>
        <v>18348.72</v>
      </c>
      <c r="F14" s="24">
        <f>sb_vmt*Diesel_Maint</f>
        <v>6240</v>
      </c>
      <c r="G14" s="24">
        <f>tt_vmt*Diesel_Maint</f>
        <v>13000</v>
      </c>
      <c r="H14" s="24">
        <v>0</v>
      </c>
      <c r="I14" s="24">
        <v>0</v>
      </c>
      <c r="J14" s="24">
        <v>0</v>
      </c>
      <c r="K14" s="24">
        <v>0</v>
      </c>
      <c r="L14" s="48"/>
      <c r="M14" s="48"/>
      <c r="N14" s="48"/>
      <c r="O14" s="48"/>
      <c r="P14" s="48"/>
      <c r="Q14" s="48"/>
      <c r="R14" s="48"/>
      <c r="S14" s="48"/>
      <c r="T14" s="48"/>
      <c r="U14" s="48"/>
      <c r="V14" s="48"/>
      <c r="W14" s="48"/>
      <c r="X14" s="48"/>
      <c r="Y14" s="48"/>
    </row>
    <row r="15" spans="2:25" x14ac:dyDescent="0.2">
      <c r="B15" s="470" t="s">
        <v>68</v>
      </c>
      <c r="C15" s="471"/>
      <c r="D15" s="472"/>
      <c r="E15" s="53">
        <v>0</v>
      </c>
      <c r="F15" s="68">
        <v>0</v>
      </c>
      <c r="G15" s="53">
        <v>0</v>
      </c>
      <c r="H15" s="67">
        <f>(ps_vmt/gasoline_mpg_ps)/12</f>
        <v>311.61616161616161</v>
      </c>
      <c r="I15" s="52">
        <f>(dt_vmt/gasoline_mpg_dt)/12</f>
        <v>170.06313131313132</v>
      </c>
      <c r="J15" s="67">
        <f>(PU_vmt/gasoline_mpg_pu)/12</f>
        <v>80.341726618705039</v>
      </c>
      <c r="K15" s="52">
        <f>(PC_VMT/gasoline_mpg_pc)/12</f>
        <v>285.95959595959596</v>
      </c>
      <c r="L15" s="10"/>
      <c r="M15" s="10"/>
      <c r="N15" s="10"/>
      <c r="O15" s="10"/>
      <c r="P15" s="10"/>
      <c r="Q15" s="10"/>
      <c r="R15" s="10"/>
      <c r="S15" s="10"/>
      <c r="T15" s="10"/>
      <c r="U15" s="10"/>
      <c r="V15" s="10"/>
      <c r="W15" s="10"/>
      <c r="X15" s="10"/>
      <c r="Y15" s="10"/>
    </row>
    <row r="16" spans="2:25" x14ac:dyDescent="0.2">
      <c r="B16" s="467" t="s">
        <v>69</v>
      </c>
      <c r="C16" s="468"/>
      <c r="D16" s="469"/>
      <c r="E16" s="24">
        <v>0</v>
      </c>
      <c r="F16" s="24">
        <v>0</v>
      </c>
      <c r="G16" s="24">
        <v>0</v>
      </c>
      <c r="H16" s="24">
        <f>ps_vmt*Gasoline_Maint</f>
        <v>1159.96</v>
      </c>
      <c r="I16" s="24">
        <f>dt_vmt*Gasoline_Maint</f>
        <v>633.04300000000001</v>
      </c>
      <c r="J16" s="24">
        <f>PU_vmt*Gasoline_Maint</f>
        <v>629.84699999999998</v>
      </c>
      <c r="K16" s="24">
        <f>PC_VMT*Gasoline_Maint</f>
        <v>2661.14</v>
      </c>
      <c r="L16" s="48"/>
      <c r="M16" s="48"/>
      <c r="N16" s="48"/>
      <c r="O16" s="48"/>
      <c r="P16" s="48"/>
      <c r="Q16" s="48"/>
      <c r="R16" s="48"/>
      <c r="S16" s="48"/>
      <c r="T16" s="48"/>
      <c r="U16" s="48"/>
      <c r="V16" s="48"/>
      <c r="W16" s="48"/>
      <c r="X16" s="48"/>
      <c r="Y16" s="48"/>
    </row>
    <row r="17" spans="1:26" x14ac:dyDescent="0.2">
      <c r="B17" s="470" t="s">
        <v>70</v>
      </c>
      <c r="C17" s="471"/>
      <c r="D17" s="472"/>
      <c r="E17" s="53">
        <f t="shared" ref="E17" si="3">hossler_tb</f>
        <v>0</v>
      </c>
      <c r="F17" s="68">
        <f t="shared" ref="F17" si="4">hossler_sb</f>
        <v>0</v>
      </c>
      <c r="G17" s="53">
        <f t="shared" ref="G17" si="5">hossler_tt</f>
        <v>0</v>
      </c>
      <c r="H17" s="68">
        <f t="shared" ref="H17" si="6">hossler_ps</f>
        <v>0</v>
      </c>
      <c r="I17" s="53">
        <f t="shared" ref="I17" si="7">hossler_ps</f>
        <v>0</v>
      </c>
      <c r="J17" s="68">
        <f t="shared" ref="J17" si="8">hossler_pu</f>
        <v>0</v>
      </c>
      <c r="K17" s="53">
        <f t="shared" ref="K17" si="9">hossler_pc</f>
        <v>0</v>
      </c>
      <c r="L17" s="10"/>
      <c r="M17" s="10"/>
      <c r="N17" s="10"/>
      <c r="O17" s="10"/>
      <c r="P17" s="10"/>
      <c r="Q17" s="10"/>
      <c r="R17" s="10"/>
      <c r="S17" s="10"/>
      <c r="T17" s="10"/>
      <c r="U17" s="10"/>
      <c r="V17" s="10"/>
      <c r="W17" s="10"/>
      <c r="X17" s="10"/>
      <c r="Y17" s="10"/>
    </row>
    <row r="19" spans="1:26" x14ac:dyDescent="0.2">
      <c r="B19" s="236" t="s">
        <v>62</v>
      </c>
      <c r="C19" s="237"/>
      <c r="D19" s="238"/>
      <c r="E19" s="33">
        <v>0</v>
      </c>
      <c r="F19" s="30">
        <v>1</v>
      </c>
      <c r="G19" s="30">
        <v>2</v>
      </c>
      <c r="H19" s="30">
        <v>3</v>
      </c>
      <c r="I19" s="30">
        <v>4</v>
      </c>
      <c r="J19" s="30">
        <v>5</v>
      </c>
      <c r="K19" s="30">
        <v>6</v>
      </c>
      <c r="L19" s="30">
        <v>7</v>
      </c>
      <c r="M19" s="30">
        <v>8</v>
      </c>
      <c r="N19" s="30">
        <v>9</v>
      </c>
      <c r="O19" s="30">
        <v>10</v>
      </c>
      <c r="P19" s="30">
        <v>11</v>
      </c>
      <c r="Q19" s="30">
        <v>12</v>
      </c>
      <c r="R19" s="30">
        <v>13</v>
      </c>
      <c r="S19" s="30">
        <v>14</v>
      </c>
      <c r="T19" s="30">
        <v>15</v>
      </c>
      <c r="U19" s="30">
        <v>16</v>
      </c>
      <c r="V19" s="30">
        <v>17</v>
      </c>
      <c r="W19" s="30">
        <v>18</v>
      </c>
      <c r="X19" s="30">
        <v>19</v>
      </c>
      <c r="Y19" s="30">
        <v>20</v>
      </c>
    </row>
    <row r="20" spans="1:26" x14ac:dyDescent="0.2">
      <c r="B20" s="433" t="s">
        <v>126</v>
      </c>
      <c r="C20" s="434"/>
      <c r="D20" s="435"/>
      <c r="E20" s="41">
        <f>IF(Inputs!$D$93&gt;(life_tb+Inputs!$D$93),0,Inputs!$D$95)</f>
        <v>0</v>
      </c>
      <c r="F20" s="42">
        <f>IF(Inputs!$E$93&gt;(life_tb+Inputs!$D$93),0,Inputs!$D$95)+IF(Inputs!$E$93&gt;(life_tb+Inputs!$E$93),0,Inputs!$E$95)</f>
        <v>0</v>
      </c>
      <c r="G20" s="42">
        <f>IF(Inputs!$F$93&gt;(life_tb+Inputs!$D$93),0,Inputs!$D$95)+IF(Inputs!$F$93&gt;(life_tb+Inputs!$E$93),0,Inputs!$E$95)+IF(Inputs!$F$93&gt;(life_tb+Inputs!$F$93),0,Inputs!$F$95)</f>
        <v>0</v>
      </c>
      <c r="H20" s="42">
        <f>IF(Inputs!$G$93&gt;(life_tb+Inputs!$D$93),0,Inputs!$D$95)+IF(Inputs!$G$93&gt;(life_tb+Inputs!$E$93),0,Inputs!$E$95)+IF(Inputs!$G$93&gt;(life_tb+Inputs!$F$93),0,Inputs!$F$95)+IF(Inputs!$G$93&gt;(life_tb+Inputs!$G$93),0,Inputs!$G$95)</f>
        <v>0</v>
      </c>
      <c r="I20" s="42">
        <f>IF(Inputs!$H$93&gt;(life_tb+Inputs!$D$93),0,Inputs!$D$95)+IF(Inputs!$H$93&gt;(life_tb+Inputs!$E$93),0,Inputs!$E$95)+IF(Inputs!$H$93&gt;(life_tb+Inputs!$F$93),0,Inputs!$F$95)+IF(Inputs!$H$93&gt;(life_tb+Inputs!$G$93),0,Inputs!$G$95)+IF(Inputs!$H$93&gt;(life_tb+Inputs!$H$93),0,Inputs!$H$95)</f>
        <v>0</v>
      </c>
      <c r="J20" s="42">
        <f>IF(Inputs!$I$93&gt;(life_tb+Inputs!$D$93),0,Inputs!$D$95)+IF(Inputs!I$93&gt;(life_tb+Inputs!$E$93),0,Inputs!$E$95)+IF(Inputs!$I$93&gt;(life_tb+Inputs!$F$93),0,Inputs!$F$95)+IF(Inputs!$I$93&gt;(life_tb+Inputs!$G$93),0,Inputs!$G$95)+IF(Inputs!$I$93&gt;(life_tb+Inputs!$H$93),0,Inputs!$H$95)+IF(Inputs!$I$93&gt;(life_tb+Inputs!$I$93),0,Inputs!$I$95)</f>
        <v>0</v>
      </c>
      <c r="K20" s="42">
        <f>IF(Inputs!$J$93&gt;(life_tb+Inputs!$D$93),0,Inputs!$D$95)+IF(Inputs!$J$93&gt;(life_tb+Inputs!$E$93),0,Inputs!$E$95)+IF(Inputs!$J$93&gt;(life_tb+Inputs!$F$93),0,Inputs!$F$95)+IF(Inputs!$J$93&gt;(life_tb+Inputs!$G$93),0,Inputs!$G$95)+IF(Inputs!$J$93&gt;(life_tb+Inputs!$H$93),0,Inputs!$H$95)+IF(Inputs!$J$93&gt;(life_tb+Inputs!$I$93),0,Inputs!$I$95)+IF(Inputs!$J$93&gt;(life_tb+Inputs!$J$93),0,Inputs!$J$95)</f>
        <v>0</v>
      </c>
      <c r="L20" s="42">
        <f>IF(Inputs!$K$93&gt;(life_tb+Inputs!$D$93),0,Inputs!$D$95)+IF(Inputs!$K$93&gt;(life_tb+Inputs!$E$93),0,Inputs!$E$95)+ IF(Inputs!$K$93&gt;(life_tb+Inputs!$F$93),0,Inputs!$F$95)+ IF(Inputs!$K$93&gt;(life_tb+Inputs!$G$93),0,Inputs!$G$95)+ IF(Inputs!$K$93&gt;(life_tb+Inputs!$H$93),0,Inputs!$H$95)+ IF(Inputs!$K$93&gt;(life_tb+Inputs!$I$93),0,Inputs!$I$95)+ IF(Inputs!$K$93&gt;(life_tb+Inputs!$J$93),0,Inputs!$J$95)+ IF(Inputs!$K$93&gt;(life_tb+Inputs!$K$93),0,Inputs!$K$95)</f>
        <v>0</v>
      </c>
      <c r="M20" s="42">
        <f>IF(Inputs!$L$93&gt;(life_tb+Inputs!$D$93),0,Inputs!$D$95)+ IF(Inputs!$L$93&gt;(life_tb+Inputs!$E$93),0,Inputs!$E$95)+ IF(Inputs!$L$93&gt;(life_tb+Inputs!$F$93),0,Inputs!$F$95)+ IF(Inputs!$L$93&gt;(life_tb+Inputs!$G$93),0,Inputs!$G$95)+ IF(Inputs!$L$93&gt;(life_tb+Inputs!$H$93),0,Inputs!$H$95)+ IF(Inputs!$L$93&gt;(life_tb+Inputs!$I$93),0,Inputs!$I$95)+ IF(Inputs!$L$93&gt;(life_tb+Inputs!$J$93),0,Inputs!$J$95)+ IF(Inputs!$L$93&gt;(life_tb+Inputs!$K$93),0,Inputs!$K$95)+ IF(Inputs!$L$93&gt;(life_tb+Inputs!$L$93),0,Inputs!$L$95)</f>
        <v>0</v>
      </c>
      <c r="N20" s="42">
        <f>IF(Inputs!$M$93&gt;(life_tb+Inputs!$D$93),0,Inputs!$D$95)+ IF(Inputs!$M$93&gt;(life_tb+Inputs!$E$93),0,Inputs!$E$95)+ IF(Inputs!$M$93&gt;(life_tb+Inputs!$F$93),0,Inputs!$F$95)+ IF(Inputs!$M$93&gt;(life_tb+Inputs!$G$93),0,Inputs!$G$95)+ IF(Inputs!$M$93&gt;(life_tb+Inputs!$H$93),0,Inputs!$H$95)+ IF(Inputs!$M$93&gt;(life_tb+Inputs!$I$93),0,Inputs!$I$95)+ IF(Inputs!$M$93&gt;(life_tb+Inputs!$J$93),0,Inputs!$J$95)+ IF(Inputs!$M$93&gt;(life_tb+Inputs!$K$93),0,Inputs!$K$95)+ IF(Inputs!$M$93&gt;(life_tb+Inputs!$L$93),0,Inputs!$L$95)+ IF(Inputs!$M$93&gt;(life_tb+Inputs!$M$93),0,Inputs!$M$95)</f>
        <v>0</v>
      </c>
      <c r="O20" s="42">
        <f>IF(Inputs!$N$93&gt;(life_tb+Inputs!$D$93),0,Inputs!$D$95)+ IF(Inputs!$N$93&gt;(life_tb+Inputs!$E$93),0,Inputs!$E$95)+ IF(Inputs!$N$93&gt;(life_tb+Inputs!$F$93),0,Inputs!$F$95)+ IF(Inputs!$N$93&gt;(life_tb+Inputs!$G$93),0,Inputs!$G$95)+ IF(Inputs!$N$93&gt;(life_tb+Inputs!$H$93),0,Inputs!$H$95)+ IF(Inputs!$N$93&gt;(life_tb+Inputs!$I$93),0,Inputs!$I$95)+ IF(Inputs!$N$93&gt;(life_tb+Inputs!$J$93),0,Inputs!$J$95)+ IF(Inputs!$N$93&gt;(life_tb+Inputs!$K$93),0,Inputs!$K$95)+ IF(Inputs!$N$93&gt;(life_tb+Inputs!$L$93),0,Inputs!$L$95)+ IF(Inputs!$N$93&gt;(life_tb+Inputs!$M$93),0,Inputs!$M$95)+ IF(Inputs!$N$93&gt;(life_tb+Inputs!$N$93),0,Inputs!$N$95)</f>
        <v>0</v>
      </c>
      <c r="P20" s="42">
        <f>IF(Inputs!$O$93&gt;(life_tb+Inputs!$D$93),0,Inputs!$D$95)+ IF(Inputs!$O$93&gt;(life_tb+Inputs!$E$93),0,Inputs!$E$95)+ IF(Inputs!$O$93&gt;(life_tb+Inputs!$F$93),0,Inputs!$F$95)+ IF(Inputs!$O$93&gt;(life_tb+Inputs!$G$93),0,Inputs!$G$95)+ IF(Inputs!$O$93&gt;(life_tb+Inputs!$H$93),0,Inputs!$H$95)+ IF(Inputs!$O$93&gt;(life_tb+Inputs!$I$93),0,Inputs!$I$95)+ IF(Inputs!$O$93&gt;(life_tb+Inputs!$J$93),0,Inputs!$J$95)+ IF(Inputs!$O$93&gt;(life_tb+Inputs!$K$93),0,Inputs!$K$95)+ IF(Inputs!$O$93&gt;(life_tb+Inputs!$L$93),0,Inputs!$L$95)+ IF(Inputs!$O$93&gt;(life_tb+Inputs!$M$93),0,Inputs!$M$95)+ IF(Inputs!$O$93&gt;(life_tb+Inputs!$N$93),0,Inputs!$N$95)+ IF(Inputs!$O$93&gt;(life_tb+Inputs!$O$93),0,Inputs!$O$95)</f>
        <v>0</v>
      </c>
      <c r="Q20" s="42">
        <f>IF(Inputs!$P$93&gt;(life_tb+Inputs!$D$93),0,Inputs!$D$95)+ IF(Inputs!$P$93&gt;(life_tb+Inputs!$E$93),0,Inputs!$E$95)+ IF(Inputs!$P$93&gt;(life_tb+Inputs!$F$93),0,Inputs!$F$95)+ IF(Inputs!$P$93&gt;(life_tb+Inputs!$G$93),0,Inputs!$G$95)+ IF(Inputs!$P$93&gt;(life_tb+Inputs!$H$93),0,Inputs!$H$95)+ IF(Inputs!$P$93&gt;(life_tb+Inputs!$I$93),0,Inputs!$I$95)+ IF(Inputs!$P$93&gt;(life_tb+Inputs!$J$93),0,Inputs!$J$95)+ IF(Inputs!$P$93&gt;(life_tb+Inputs!$K$93),0,Inputs!$K$95)+ IF(Inputs!$P$93&gt;(life_tb+Inputs!$L$93),0,Inputs!$L$95)+ IF(Inputs!$P$93&gt;(life_tb+Inputs!$M$93),0,Inputs!$M$95)+ IF(Inputs!$P$93&gt;(life_tb+Inputs!$N$93),0,Inputs!$N$95)+ IF(Inputs!$P$93&gt;(life_tb+Inputs!$O$93),0,Inputs!$O$95)+ IF(Inputs!$P$93&gt;(life_tb+Inputs!$P$93),0,Inputs!$P$95)</f>
        <v>0</v>
      </c>
      <c r="R20" s="42">
        <f>IF(Inputs!$Q$93&gt;(life_tb+Inputs!$D$93),0,Inputs!$D$95)+ IF(Inputs!$Q$93&gt;(life_tb+Inputs!$E$93),0,Inputs!$E$95)+ IF(Inputs!$Q$93&gt;(life_tb+Inputs!$F$93),0,Inputs!$F$95)+ IF(Inputs!$Q$93&gt;(life_tb+Inputs!$G$93),0,Inputs!$G$95)+ IF(Inputs!$Q$93&gt;(life_tb+Inputs!$H$93),0,Inputs!$H$95)+ IF(Inputs!$Q$93&gt;(life_tb+Inputs!$I$93),0,Inputs!$I$95)+ IF(Inputs!$Q$93&gt;(life_tb+Inputs!$J$93),0,Inputs!$J$95)+ IF(Inputs!$Q$93&gt;(life_tb+Inputs!$K$93),0,Inputs!$K$95)+ IF(Inputs!$Q$93&gt;(life_tb+Inputs!$L$93),0,Inputs!$L$95)+ IF(Inputs!$Q$93&gt;(life_tb+Inputs!$M$93),0,Inputs!$M$95)+ IF(Inputs!$Q$93&gt;(life_tb+Inputs!$N$93),0,Inputs!$N$95)+ IF(Inputs!$Q$93&gt;(life_tb+Inputs!$O$93),0,Inputs!$O$95)+ IF(Inputs!$Q$93&gt;(life_tb+Inputs!$P$93),0,Inputs!$P$95)+ IF(Inputs!$Q$93&gt;(life_tb+Inputs!$Q$93),0,Inputs!$Q$95)</f>
        <v>0</v>
      </c>
      <c r="S20" s="42">
        <f>IF(Inputs!$R$93&gt;(life_tb+Inputs!$D$93),0,Inputs!$D$95)+ IF(Inputs!$R$93&gt;(life_tb+Inputs!$E$93),0,Inputs!$E$95)+ IF(Inputs!$R$93&gt;(life_tb+Inputs!$F$93),0,Inputs!$F$95)+ IF(Inputs!$R$93&gt;(life_tb+Inputs!$G$93),0,Inputs!$G$95)+ IF(Inputs!$R$93&gt;(life_tb+Inputs!$H$93),0,Inputs!$H$95)+ IF(Inputs!$R$93&gt;(life_tb+Inputs!$I$93),0,Inputs!$I$95)+ IF(Inputs!$R$93&gt;(life_tb+Inputs!$J$93),0,Inputs!$J$95)+ IF(Inputs!$R$93&gt;(life_tb+Inputs!$K$93),0,Inputs!$K$95)+ IF(Inputs!$R$93&gt;(life_tb+Inputs!$L$93),0,Inputs!$L$95)+ IF(Inputs!$R$93&gt;(life_tb+Inputs!$M$93),0,Inputs!$M$95)+ IF(Inputs!$R$93&gt;(life_tb+Inputs!$N$93),0,Inputs!$N$95)+ IF(Inputs!$R$93&gt;(life_tb+Inputs!$O$93),0,Inputs!$O$95)+ IF(Inputs!$R$93&gt;(life_tb+Inputs!$P$93),0,Inputs!$P$95)+ IF(Inputs!$R$93&gt;(life_tb+Inputs!$Q$93),0,Inputs!$Q$95)+ IF(Inputs!$R$93&gt;(life_tb+Inputs!$R$93),0,Inputs!$R$95)</f>
        <v>0</v>
      </c>
      <c r="T20" s="42">
        <f>IF(Inputs!$S$93&gt;(life_tb+Inputs!$D$93),0,Inputs!$D$95)+ IF(Inputs!$S$93&gt;(life_tb+Inputs!$E$93),0,Inputs!$E$95)+ IF(Inputs!$S$93&gt;(life_tb+Inputs!$F$93),0,Inputs!$F$95)+ IF(Inputs!$S$93&gt;(life_tb+Inputs!$G$93),0,Inputs!$G$95)+ IF(Inputs!$S$93&gt;(life_tb+Inputs!$H$93),0,Inputs!$H$95)+ IF(Inputs!$S$93&gt;(life_tb+Inputs!$I$93),0,Inputs!$I$95)+ IF(Inputs!S$93&gt;(life_tb+Inputs!$J$93),0,Inputs!$J$95)+ IF(Inputs!$S$93&gt;(life_tb+Inputs!$K$93),0,Inputs!$K$95)+ IF(Inputs!$S$93&gt;(life_tb+Inputs!$L$93),0,Inputs!$L$95)+ IF(Inputs!$S$93&gt;(life_tb+Inputs!$M$93),0,Inputs!$M$95)+ IF(Inputs!$S$93&gt;(life_tb+Inputs!$N$93),0,Inputs!$N$95)+ IF(Inputs!$S$93&gt;(life_tb+Inputs!$O$93),0,Inputs!$O$95)+ IF(Inputs!$S$93&gt;(life_tb+Inputs!$P$93),0,Inputs!$P$95)+ IF(Inputs!$S$93&gt;(life_tb+Inputs!$Q$93),0,Inputs!$Q$95)+ IF(Inputs!$S$93&gt;(life_tb+Inputs!$R$93),0,Inputs!$R$95)+ IF(Inputs!$S$93&gt;(life_tb+Inputs!$S$93),0,Inputs!$S$95)</f>
        <v>0</v>
      </c>
      <c r="U20" s="42">
        <f>IF(Inputs!$T$93&gt;=(life_tb+Inputs!$D$93),0,Inputs!$D$95)+ IF(Inputs!$T$93&gt;(life_tb+Inputs!$E$93),0,Inputs!$E$95)+ IF(Inputs!$T$93&gt;(life_tb+Inputs!$F$93),0,Inputs!$F$95)+ IF(Inputs!$T$93&gt;(life_tb+Inputs!$G$93),0,Inputs!$G$95)+ IF(Inputs!$T$93&gt;(life_tb+Inputs!$H$93),0,Inputs!$H$95)+ IF(Inputs!$T$93&gt;(life_tb+Inputs!$I$93),0,Inputs!$I$95)+ IF(Inputs!$T$93&gt;(life_tb+Inputs!$J$93),0,Inputs!$J$95)+ IF(Inputs!$T$93&gt;(life_tb+Inputs!$K$93),0,Inputs!$K$95)+ IF(Inputs!$T$93&gt;(life_tb+Inputs!$L$93),0,Inputs!$L$95)+ IF(Inputs!$T$93&gt;(life_tb+Inputs!$M$93),0,Inputs!$M$95)+ IF(Inputs!$T$93&gt;(life_tb+Inputs!$N$93),0,Inputs!$N$95)+ IF(Inputs!$T$93&gt;(life_tb+Inputs!$O$93),0,Inputs!$O$95)+ IF(Inputs!$T$93&gt;(life_tb+Inputs!$P$93),0,Inputs!$P$95)+ IF(Inputs!$T$93&gt;(life_tb+Inputs!$Q$93),0,Inputs!$Q$95)+ IF(Inputs!$T$93&gt;(life_tb+Inputs!$R$93),0,Inputs!$R$95)+ IF(Inputs!$T$93&gt;(life_tb+Inputs!$S$93),0,Inputs!$S$95)+ IF(Inputs!$T$93&gt;(life_tb+Inputs!$T$93),0,Inputs!$T$95)</f>
        <v>0</v>
      </c>
      <c r="V20" s="42">
        <f>IF(Inputs!$U$93&gt;=(life_tb+Inputs!$D$93),0,Inputs!$D$95)+ IF(Inputs!$U$93&gt;(life_tb+Inputs!$E$93),0,Inputs!$E$95)+ IF(Inputs!$U$93&gt;(life_tb+Inputs!$F$93),0,Inputs!$F$95)+ IF(Inputs!$U$93&gt;(life_tb+Inputs!$G$93),0,Inputs!$G$95)+ IF(Inputs!$U$93&gt;(life_tb+Inputs!$H$93),0,Inputs!$H$95)+ IF(Inputs!$U$93&gt;(life_tb+Inputs!$I$93),0,Inputs!$I$95)+ IF(Inputs!$U$93&gt;(life_tb+Inputs!$J$93),0,Inputs!$J$95)+ IF(Inputs!$U$93&gt;(life_tb+Inputs!$K$93),0,Inputs!$K$95)+ IF(Inputs!$U$93&gt;(life_tb+Inputs!$L$93),0,Inputs!$L$95)+ IF(Inputs!$U$93&gt;(life_tb+Inputs!$M$93),0,Inputs!$M$95)+ IF(Inputs!$U$93&gt;(life_tb+Inputs!$N$93),0,Inputs!$N$95)+ IF(Inputs!$U$93&gt;(life_tb+Inputs!$O$93),0,Inputs!$O$95)+ IF(Inputs!$U$93&gt;(life_tb+Inputs!$P$93),0,Inputs!$P$95)+ IF(Inputs!$U$93&gt;(life_tb+Inputs!$Q$93),0,Inputs!$Q$95)+ IF(Inputs!$U$93&gt;(life_tb+Inputs!$R$93),0,Inputs!$R$95)+ IF(Inputs!$U$93&gt;(life_tb+Inputs!$S$93),0,Inputs!$S$95)+ IF(Inputs!$U$93&gt;(life_tb+Inputs!$T$93),0,Inputs!$T$95)+ IF(Inputs!$U$93&gt;(life_tb+Inputs!$U$93),0,Inputs!$U$95)</f>
        <v>0</v>
      </c>
      <c r="W20" s="42">
        <f>IF(Inputs!$V$93&gt;=(life_tb+Inputs!$D$93),0,Inputs!$D$95)+IF(Inputs!$V$93&gt;(life_tb+Inputs!$E$93),0,Inputs!$E$95)+ IF(Inputs!$V$93&gt;(life_tb+Inputs!$F$93),0,Inputs!$F$95)+ IF(Inputs!$V$93&gt;(life_tb+Inputs!$G$93),0,Inputs!$G$95)+ IF(Inputs!$V$93&gt;(life_tb+Inputs!$H$93),0,Inputs!$H$95)+ IF(Inputs!$V$93&gt;(life_tb+Inputs!$I$93),0,Inputs!$I$95)+ IF(Inputs!$V$93&gt;(life_tb+Inputs!$J$93),0,Inputs!$J$95)+ IF(Inputs!$V$93&gt;(life_tb+Inputs!$K$93),0,Inputs!$K$95)+ IF(Inputs!$V$93&gt;(life_tb+Inputs!$L$93),0,Inputs!$L$95)+ IF(Inputs!$V$93&gt;(life_tb+Inputs!$M$93),0,Inputs!$M$95)+ IF(Inputs!$V$93&gt;(life_tb+Inputs!$N$93),0,Inputs!$N$95)+ IF(Inputs!$V$93&gt;(life_tb+Inputs!$O$93),0,Inputs!$O$95)+ IF(Inputs!$V$93&gt;(life_tb+Inputs!$P$93),0,Inputs!$P$95)+ IF(Inputs!$V$93&gt;(life_tb+Inputs!$Q$93),0,Inputs!$Q$95)+ IF(Inputs!$V$93&gt;(life_tb+Inputs!$R$93),0,Inputs!$R$95)+ IF(Inputs!$V$93&gt;(life_tb+Inputs!$S$93),0,Inputs!$S$95)+ IF(Inputs!$V$93&gt;(life_tb+Inputs!$T$93),0,Inputs!$T$95)+ IF(Inputs!$V$93&gt;(life_tb+Inputs!$U$93),0,Inputs!$U$95)+ IF(Inputs!$V$93&gt;(life_tb+Inputs!$V$93),0,Inputs!$V$95)</f>
        <v>0</v>
      </c>
      <c r="X20" s="42">
        <f>IF(Inputs!$W$93&gt;=(life_tb+Inputs!$D$93),0,Inputs!$D$95)+ IF(Inputs!$W$93&gt;(life_tb+Inputs!$E$93),0,Inputs!$E$95)+ IF(Inputs!$W$93&gt;(life_tb+Inputs!$F$93),0,Inputs!$F$95)+ IF(Inputs!$W$93&gt;(life_tb+Inputs!$G$93),0,Inputs!$G$95)+ IF(Inputs!$W$93&gt;(life_tb+Inputs!$H$93),0,Inputs!$H$95)+ IF(Inputs!$W$93&gt;(life_tb+Inputs!$I$93),0,Inputs!$I$95)+ IF(Inputs!$W$93&gt;(life_tb+Inputs!$J$93),0,Inputs!$J$95)+ IF(Inputs!$W$93&gt;(life_tb+Inputs!$K$93),0,Inputs!$K$95)+ IF(Inputs!$W$93&gt;(life_tb+Inputs!$L$93),0,Inputs!$L$95)+ IF(Inputs!$W$93&gt;(life_tb+Inputs!$M$93),0,Inputs!$M$95)+ IF(Inputs!$W$93&gt;(life_tb+Inputs!$N$93),0,Inputs!$N$95)+ IF(Inputs!$W$93&gt;(life_tb+Inputs!$O$93),0,Inputs!$O$95)+ IF(Inputs!$W$93&gt;(life_tb+Inputs!$P$93),0,Inputs!$P$95)+ IF(Inputs!$W$93&gt;(life_tb+Inputs!$Q$93),0,Inputs!$Q$95)+ IF(Inputs!$W$93&gt;(life_tb+Inputs!$R$93),0,Inputs!$R$95)+ IF(Inputs!$W$93&gt;(life_tb+Inputs!$S$93),0,Inputs!$S$95)+ IF(Inputs!$W$93&gt;(life_tb+Inputs!$T$93),0,Inputs!$T$95)+ IF(Inputs!$W$93&gt;(life_tb+Inputs!$U$93),0,Inputs!$U$95)+ IF(Inputs!$W$93&gt;(life_tb+Inputs!$V$93),0,Inputs!$V$95)+ IF(Inputs!$W$93&gt;(life_tb+Inputs!$W$93),0,Inputs!$W$95)</f>
        <v>0</v>
      </c>
      <c r="Y20" s="42">
        <f>IF(Inputs!$X$93&gt;=(life_tb+Inputs!$D$93),0,Inputs!$D$95)+ IF(Inputs!$X$93&gt;(life_tb+Inputs!$E$93),0,Inputs!$E$95)+ IF(Inputs!$X$93&gt;(life_tb+Inputs!$F$93),0,Inputs!$F$95)+ IF(Inputs!$X$93&gt;(life_tb+Inputs!$G$93),0,Inputs!$G$95)+ IF(Inputs!$X$93&gt;(life_tb+Inputs!$H$93),0,Inputs!$H$95)+ IF(Inputs!$X$93&gt;(life_tb+Inputs!$I$93),0,Inputs!$I$95)+ IF(Inputs!$X$93&gt;(life_tb+Inputs!$J$93),0,Inputs!$J$95)+ IF(Inputs!$X$93&gt;(life_tb+Inputs!$K$93),0,Inputs!$K$95)+ IF(Inputs!$X$93&gt;(life_tb+Inputs!$L$93),0,Inputs!$L$95)+ IF(Inputs!$X$93&gt;(life_tb+Inputs!$M$93),0,Inputs!$M$95)+ IF(Inputs!$X$93&gt;(life_tb+Inputs!$N$93),0,Inputs!$N$95)+ IF(Inputs!$X$93&gt;(life_tb+Inputs!$O$93),0,Inputs!$O$95)+ IF(Inputs!$X$93&gt;(life_tb+Inputs!$P$93),0,Inputs!$P$95)+ IF(Inputs!$X$93&gt;(life_tb+Inputs!$Q$93),0,Inputs!$Q$95)+ IF(Inputs!$X$93&gt;(life_tb+Inputs!$R$93),0,Inputs!$R$95)+ IF(Inputs!$X$93&gt;(life_tb+Inputs!$S$93),0,Inputs!$S$95)+ IF(Inputs!$X$93&gt;(life_tb+Inputs!$T$93),0,Inputs!$T$95)+ IF(Inputs!$X$93&gt;(life_tb+Inputs!$U$93),0,Inputs!$U$95)+ IF(Inputs!$X$93&gt;(life_tb+Inputs!$V$93),0,Inputs!$V$95)+ IF(Inputs!$X$93&gt;(life_tb+Inputs!$W$93),0,Inputs!$W$95)+ IF(Inputs!$X$93&gt;(life_tb+Inputs!$W$93),0,Inputs!$W$95)</f>
        <v>0</v>
      </c>
    </row>
    <row r="21" spans="1:26" x14ac:dyDescent="0.2">
      <c r="B21" s="439" t="s">
        <v>127</v>
      </c>
      <c r="C21" s="440"/>
      <c r="D21" s="441"/>
      <c r="E21" s="43">
        <f>IF(Inputs!$D$93&gt;(life_sb+Inputs!$D$93),0,Inputs!$D$96)</f>
        <v>0</v>
      </c>
      <c r="F21" s="44">
        <f>IF(Inputs!$E$93&gt;(life_sb+Inputs!$D$93),0,Inputs!$D$96)+IF(Inputs!$E$93&gt;(life_sb+Inputs!$E$93),0,Inputs!$E$96)</f>
        <v>0</v>
      </c>
      <c r="G21" s="44">
        <f>IF(Inputs!$F$93&gt;(life_sb+Inputs!$D$93),0,Inputs!$D$96)+IF(Inputs!$F$93&gt;(life_sb+Inputs!$E$93),0,Inputs!$E$96)+IF(Inputs!$F$93&gt;(life_sb+Inputs!$F$93),0,Inputs!$F$96)</f>
        <v>0</v>
      </c>
      <c r="H21" s="44">
        <f>IF(Inputs!$G$93&gt;(life_sb+Inputs!$D$93),0,Inputs!$D$96)+IF(Inputs!$G$93&gt;(life_sb+Inputs!$E$93),0,Inputs!$E$96)+IF(Inputs!$G$93&gt;(life_sb+Inputs!$F$93),0,Inputs!$F$96)+IF(Inputs!$G$93&gt;(life_sb+Inputs!$G$93),0,Inputs!$G$96)</f>
        <v>0</v>
      </c>
      <c r="I21" s="44">
        <f>IF(Inputs!$H$93&gt;(life_sb+Inputs!$D$93),0,Inputs!$D$96)+IF(Inputs!$H$93&gt;(life_sb+Inputs!$E$93),0,Inputs!$E$96)+IF(Inputs!$H$93&gt;(life_sb+Inputs!$F$93),0,Inputs!$F$96)+IF(Inputs!$H$93&gt;(life_sb+Inputs!$G$93),0,Inputs!$G$96)+IF(Inputs!$H$93&gt;(life_sb+Inputs!$H$93),0,Inputs!$H$96)</f>
        <v>0</v>
      </c>
      <c r="J21" s="44">
        <f>IF(Inputs!$I$93&gt;(life_sb+Inputs!$D$93),0,Inputs!$D$96)+IF(Inputs!I$93&gt;(life_sb+Inputs!$E$93),0,Inputs!$E$96)+IF(Inputs!$I$93&gt;(life_sb+Inputs!$F$93),0,Inputs!$F$96)+IF(Inputs!$I$93&gt;(life_sb+Inputs!$G$93),0,Inputs!$G$96)+IF(Inputs!$I$93&gt;(life_sb+Inputs!$H$93),0,Inputs!$H$96)+IF(Inputs!$I$93&gt;(life_sb+Inputs!$I$93),0,Inputs!$I$96)</f>
        <v>0</v>
      </c>
      <c r="K21" s="44">
        <f>IF(Inputs!$J$93&gt;(life_sb+Inputs!$D$93),0,Inputs!$D$96)+IF(Inputs!$J$93&gt;(life_sb+Inputs!$E$93),0,Inputs!$E$96)+IF(Inputs!$J$93&gt;(life_sb+Inputs!$F$93),0,Inputs!$F$96)+IF(Inputs!$J$93&gt;(life_sb+Inputs!$G$93),0,Inputs!$G$96)+IF(Inputs!$J$93&gt;(life_sb+Inputs!$H$93),0,Inputs!$H$96)+IF(Inputs!$J$93&gt;(life_sb+Inputs!$I$93),0,Inputs!$I$96)+IF(Inputs!$J$93&gt;(life_sb+Inputs!$J$93),0,Inputs!$J$96)</f>
        <v>0</v>
      </c>
      <c r="L21" s="44">
        <f>IF(Inputs!$K$93&gt;(life_sb+Inputs!$D$93),0,Inputs!$D$96)+IF(Inputs!$K$93&gt;(life_sb+Inputs!$E$93),0,Inputs!$E$96)+ IF(Inputs!$K$93&gt;(life_sb+Inputs!$F$93),0,Inputs!$F$96)+ IF(Inputs!$K$93&gt;(life_sb+Inputs!$G$93),0,Inputs!$G$96)+ IF(Inputs!$K$93&gt;(life_sb+Inputs!$H$93),0,Inputs!$H$96)+ IF(Inputs!$K$93&gt;(life_sb+Inputs!$I$93),0,Inputs!$I$96)+ IF(Inputs!$K$93&gt;(life_sb+Inputs!$J$93),0,Inputs!$J$96)+ IF(Inputs!$K$93&gt;(life_sb+Inputs!$K$93),0,Inputs!$K$96)</f>
        <v>0</v>
      </c>
      <c r="M21" s="44">
        <f>IF(Inputs!$L$93&gt;(life_sb+Inputs!$D$93),0,Inputs!$D$96)+ IF(Inputs!$L$93&gt;(life_sb+Inputs!$E$93),0,Inputs!$E$96)+ IF(Inputs!$L$93&gt;(life_sb+Inputs!$F$93),0,Inputs!$F$96)+ IF(Inputs!$L$93&gt;(life_sb+Inputs!$G$93),0,Inputs!$G$96)+ IF(Inputs!$L$93&gt;(life_sb+Inputs!$H$93),0,Inputs!$H$96)+ IF(Inputs!$L$93&gt;(life_sb+Inputs!$I$93),0,Inputs!$I$96)+ IF(Inputs!$L$93&gt;(life_sb+Inputs!$J$93),0,Inputs!$J$96)+ IF(Inputs!$L$93&gt;(life_sb+Inputs!$K$93),0,Inputs!$K$96)+ IF(Inputs!$L$93&gt;(life_sb+Inputs!$L$93),0,Inputs!$L$96)</f>
        <v>0</v>
      </c>
      <c r="N21" s="44">
        <f>IF(Inputs!$M$93&gt;(life_sb+Inputs!$D$93),0,Inputs!$D$96)+ IF(Inputs!$M$93&gt;(life_sb+Inputs!$E$93),0,Inputs!$E$96)+ IF(Inputs!$M$93&gt;(life_sb+Inputs!$F$93),0,Inputs!$F$96)+ IF(Inputs!$M$93&gt;(life_sb+Inputs!$G$93),0,Inputs!$G$96)+ IF(Inputs!$M$93&gt;(life_sb+Inputs!$H$93),0,Inputs!$H$96)+ IF(Inputs!$M$93&gt;(life_sb+Inputs!$I$93),0,Inputs!$I$96)+ IF(Inputs!$M$93&gt;(life_sb+Inputs!$J$93),0,Inputs!$J$96)+ IF(Inputs!$M$93&gt;(life_sb+Inputs!$K$93),0,Inputs!$K$96)+ IF(Inputs!$M$93&gt;(life_sb+Inputs!$L$93),0,Inputs!$L$96)+ IF(Inputs!$M$93&gt;(life_sb+Inputs!$M$93),0,Inputs!$M$96)</f>
        <v>0</v>
      </c>
      <c r="O21" s="44">
        <f>IF(Inputs!$N$93&gt;(life_sb+Inputs!$D$93),0,Inputs!$D$96)+ IF(Inputs!$N$93&gt;(life_sb+Inputs!$E$93),0,Inputs!$E$96)+ IF(Inputs!$N$93&gt;(life_sb+Inputs!$F$93),0,Inputs!$F$96)+ IF(Inputs!$N$93&gt;(life_sb+Inputs!$G$93),0,Inputs!$G$96)+ IF(Inputs!$N$93&gt;(life_sb+Inputs!$H$93),0,Inputs!$H$96)+ IF(Inputs!$N$93&gt;(life_sb+Inputs!$I$93),0,Inputs!$I$96)+ IF(Inputs!$N$93&gt;(life_sb+Inputs!$J$93),0,Inputs!$J$96)+ IF(Inputs!$N$93&gt;(life_sb+Inputs!$K$93),0,Inputs!$K$96)+ IF(Inputs!$N$93&gt;(life_sb+Inputs!$L$93),0,Inputs!$L$96)+ IF(Inputs!$N$93&gt;(life_sb+Inputs!$M$93),0,Inputs!$M$96)+ IF(Inputs!$N$93&gt;(life_sb+Inputs!$N$93),0,Inputs!$N$96)</f>
        <v>0</v>
      </c>
      <c r="P21" s="44">
        <f>IF(Inputs!$O$93&gt;(life_sb+Inputs!$D$93),0,Inputs!$D$96)+ IF(Inputs!$O$93&gt;(life_sb+Inputs!$E$93),0,Inputs!$E$96)+ IF(Inputs!$O$93&gt;(life_sb+Inputs!$F$93),0,Inputs!$F$96)+ IF(Inputs!$O$93&gt;(life_sb+Inputs!$G$93),0,Inputs!$G$96)+ IF(Inputs!$O$93&gt;(life_sb+Inputs!$H$93),0,Inputs!$H$96)+ IF(Inputs!$O$93&gt;(life_sb+Inputs!$I$93),0,Inputs!$I$96)+ IF(Inputs!$O$93&gt;(life_sb+Inputs!$J$93),0,Inputs!$J$96)+ IF(Inputs!$O$93&gt;(life_sb+Inputs!$K$93),0,Inputs!$K$96)+ IF(Inputs!$O$93&gt;(life_sb+Inputs!$L$93),0,Inputs!$L$96)+ IF(Inputs!$O$93&gt;(life_sb+Inputs!$M$93),0,Inputs!$M$96)+ IF(Inputs!$O$93&gt;(life_sb+Inputs!$N$93),0,Inputs!$N$96)+ IF(Inputs!$O$93&gt;(life_sb+Inputs!$O$93),0,Inputs!$O$96)</f>
        <v>0</v>
      </c>
      <c r="Q21" s="44">
        <f>IF(Inputs!$P$93&gt;(life_sb+Inputs!$D$93),0,Inputs!$D$96)+ IF(Inputs!$P$93&gt;(life_sb+Inputs!$E$93),0,Inputs!$E$96)+ IF(Inputs!$P$93&gt;(life_sb+Inputs!$F$93),0,Inputs!$F$96)+ IF(Inputs!$P$93&gt;(life_sb+Inputs!$G$93),0,Inputs!$G$96)+ IF(Inputs!$P$93&gt;(life_sb+Inputs!$H$93),0,Inputs!$H$96)+ IF(Inputs!$P$93&gt;(life_sb+Inputs!$I$93),0,Inputs!$I$96)+ IF(Inputs!$P$93&gt;(life_sb+Inputs!$J$93),0,Inputs!$J$96)+ IF(Inputs!$P$93&gt;(life_sb+Inputs!$K$93),0,Inputs!$K$96)+ IF(Inputs!$P$93&gt;(life_sb+Inputs!$L$93),0,Inputs!$L$96)+ IF(Inputs!$P$93&gt;(life_sb+Inputs!$M$93),0,Inputs!$M$96)+ IF(Inputs!$P$93&gt;(life_sb+Inputs!$N$93),0,Inputs!$N$96)+ IF(Inputs!$P$93&gt;(life_sb+Inputs!$O$93),0,Inputs!$O$96)+ IF(Inputs!$P$93&gt;(life_sb+Inputs!$P$93),0,Inputs!$P$96)</f>
        <v>0</v>
      </c>
      <c r="R21" s="44">
        <f>IF(Inputs!$Q$93&gt;(life_sb+Inputs!$D$93),0,Inputs!$D$96)+ IF(Inputs!$Q$93&gt;(life_sb+Inputs!$E$93),0,Inputs!$E$96)+ IF(Inputs!$Q$93&gt;(life_sb+Inputs!$F$93),0,Inputs!$F$96)+ IF(Inputs!$Q$93&gt;(life_sb+Inputs!$G$93),0,Inputs!$G$96)+ IF(Inputs!$Q$93&gt;(life_sb+Inputs!$H$93),0,Inputs!$H$96)+ IF(Inputs!$Q$93&gt;(life_sb+Inputs!$I$93),0,Inputs!$I$96)+ IF(Inputs!$Q$93&gt;(life_sb+Inputs!$J$93),0,Inputs!$J$96)+ IF(Inputs!$Q$93&gt;(life_sb+Inputs!$K$93),0,Inputs!$K$96)+ IF(Inputs!$Q$93&gt;(life_sb+Inputs!$L$93),0,Inputs!$L$96)+ IF(Inputs!$Q$93&gt;(life_sb+Inputs!$M$93),0,Inputs!$M$96)+ IF(Inputs!$Q$93&gt;(life_sb+Inputs!$N$93),0,Inputs!$N$96)+ IF(Inputs!$Q$93&gt;(life_sb+Inputs!$O$93),0,Inputs!$O$96)+ IF(Inputs!$Q$93&gt;(life_sb+Inputs!$P$93),0,Inputs!$P$96)+ IF(Inputs!$Q$93&gt;(life_sb+Inputs!$Q$93),0,Inputs!$Q$96)</f>
        <v>0</v>
      </c>
      <c r="S21" s="44">
        <f>IF(Inputs!$R$93&gt;(life_sb+Inputs!$D$93),0,Inputs!$D$96)+ IF(Inputs!$R$93&gt;(life_sb+Inputs!$E$93),0,Inputs!$E$96)+ IF(Inputs!$R$93&gt;(life_sb+Inputs!$F$93),0,Inputs!$F$96)+ IF(Inputs!$R$93&gt;(life_sb+Inputs!$G$93),0,Inputs!$G$96)+ IF(Inputs!$R$93&gt;(life_sb+Inputs!$H$93),0,Inputs!$H$96)+ IF(Inputs!$R$93&gt;(life_sb+Inputs!$I$93),0,Inputs!$I$96)+ IF(Inputs!$R$93&gt;(life_sb+Inputs!$J$93),0,Inputs!$J$96)+ IF(Inputs!$R$93&gt;(life_sb+Inputs!$K$93),0,Inputs!$K$96)+ IF(Inputs!$R$93&gt;(life_sb+Inputs!$L$93),0,Inputs!$L$96)+ IF(Inputs!$R$93&gt;(life_sb+Inputs!$M$93),0,Inputs!$M$96)+ IF(Inputs!$R$93&gt;(life_sb+Inputs!$N$93),0,Inputs!$N$96)+ IF(Inputs!$R$93&gt;(life_sb+Inputs!$O$93),0,Inputs!$O$96)+ IF(Inputs!$R$93&gt;(life_sb+Inputs!$P$93),0,Inputs!$P$96)+ IF(Inputs!$R$93&gt;(life_sb+Inputs!$Q$93),0,Inputs!$Q$96)+ IF(Inputs!$R$93&gt;(life_sb+Inputs!$R$93),0,Inputs!$R$96)</f>
        <v>0</v>
      </c>
      <c r="T21" s="44">
        <f>IF(Inputs!$S$93&gt;(life_sb+Inputs!$D$93),0,Inputs!$D$96)+ IF(Inputs!$S$93&gt;(life_sb+Inputs!$E$93),0,Inputs!$E$96)+ IF(Inputs!$S$93&gt;(life_sb+Inputs!$F$93),0,Inputs!$F$96)+ IF(Inputs!$S$93&gt;(life_sb+Inputs!$G$93),0,Inputs!$G$96)+ IF(Inputs!$S$93&gt;(life_sb+Inputs!$H$93),0,Inputs!$H$96)+ IF(Inputs!$S$93&gt;(life_sb+Inputs!$I$93),0,Inputs!$I$96)+ IF(Inputs!S$93&gt;(life_sb+Inputs!$J$93),0,Inputs!$J$96)+ IF(Inputs!$S$93&gt;(life_sb+Inputs!$K$93),0,Inputs!$K$96)+ IF(Inputs!$S$93&gt;(life_sb+Inputs!$L$93),0,Inputs!$L$96)+ IF(Inputs!$S$93&gt;(life_sb+Inputs!$M$93),0,Inputs!$M$96)+ IF(Inputs!$S$93&gt;(life_sb+Inputs!$N$93),0,Inputs!$N$96)+ IF(Inputs!$S$93&gt;(life_sb+Inputs!$O$93),0,Inputs!$O$96)+ IF(Inputs!$S$93&gt;(life_sb+Inputs!$P$93),0,Inputs!$P$96)+ IF(Inputs!$S$93&gt;(life_sb+Inputs!$Q$93),0,Inputs!$Q$96)+ IF(Inputs!$S$93&gt;(life_sb+Inputs!$R$93),0,Inputs!$R$96)+ IF(Inputs!$S$93&gt;(life_sb+Inputs!$S$93),0,Inputs!$S$96)</f>
        <v>0</v>
      </c>
      <c r="U21" s="44">
        <f>IF(Inputs!$T$93&gt;=(life_sb+Inputs!$D$93),0,Inputs!$D$96)+ IF(Inputs!$T$93&gt;(life_sb+Inputs!$E$93),0,Inputs!$E$96)+ IF(Inputs!$T$93&gt;(life_sb+Inputs!$F$93),0,Inputs!$F$96)+ IF(Inputs!$T$93&gt;(life_sb+Inputs!$G$93),0,Inputs!$G$96)+ IF(Inputs!$T$93&gt;(life_sb+Inputs!$H$93),0,Inputs!$H$96)+ IF(Inputs!$T$93&gt;(life_sb+Inputs!$I$93),0,Inputs!$I$96)+ IF(Inputs!$T$93&gt;(life_sb+Inputs!$J$93),0,Inputs!$J$96)+ IF(Inputs!$T$93&gt;(life_sb+Inputs!$K$93),0,Inputs!$K$96)+ IF(Inputs!$T$93&gt;(life_sb+Inputs!$L$93),0,Inputs!$L$96)+ IF(Inputs!$T$93&gt;(life_sb+Inputs!$M$93),0,Inputs!$M$96)+ IF(Inputs!$T$93&gt;(life_sb+Inputs!$N$93),0,Inputs!$N$96)+ IF(Inputs!$T$93&gt;(life_sb+Inputs!$O$93),0,Inputs!$O$96)+ IF(Inputs!$T$93&gt;(life_sb+Inputs!$P$93),0,Inputs!$P$96)+ IF(Inputs!$T$93&gt;(life_sb+Inputs!$Q$93),0,Inputs!$Q$96)+ IF(Inputs!$T$93&gt;(life_sb+Inputs!$R$93),0,Inputs!$R$96)+ IF(Inputs!$T$93&gt;(life_sb+Inputs!$S$93),0,Inputs!$S$96)+ IF(Inputs!$T$93&gt;(life_sb+Inputs!$T$93),0,Inputs!$T$96)</f>
        <v>0</v>
      </c>
      <c r="V21" s="44">
        <f>IF(Inputs!$U$93&gt;=(life_sb+Inputs!$D$93),0,Inputs!$D$96)+ IF(Inputs!$U$93&gt;(life_sb+Inputs!$E$93),0,Inputs!$E$96)+ IF(Inputs!$U$93&gt;(life_sb+Inputs!$F$93),0,Inputs!$F$96)+ IF(Inputs!$U$93&gt;(life_sb+Inputs!$G$93),0,Inputs!$G$96)+ IF(Inputs!$U$93&gt;(life_sb+Inputs!$H$93),0,Inputs!$H$96)+ IF(Inputs!$U$93&gt;(life_sb+Inputs!$I$93),0,Inputs!$I$96)+ IF(Inputs!$U$93&gt;(life_sb+Inputs!$J$93),0,Inputs!$J$96)+ IF(Inputs!$U$93&gt;(life_sb+Inputs!$K$93),0,Inputs!$K$96)+ IF(Inputs!$U$93&gt;(life_sb+Inputs!$L$93),0,Inputs!$L$96)+ IF(Inputs!$U$93&gt;(life_sb+Inputs!$M$93),0,Inputs!$M$96)+ IF(Inputs!$U$93&gt;(life_sb+Inputs!$N$93),0,Inputs!$N$96)+ IF(Inputs!$U$93&gt;(life_sb+Inputs!$O$93),0,Inputs!$O$96)+ IF(Inputs!$U$93&gt;(life_sb+Inputs!$P$93),0,Inputs!$P$96)+ IF(Inputs!$U$93&gt;(life_sb+Inputs!$Q$93),0,Inputs!$Q$96)+ IF(Inputs!$U$93&gt;(life_sb+Inputs!$R$93),0,Inputs!$R$96)+ IF(Inputs!$U$93&gt;(life_sb+Inputs!$S$93),0,Inputs!$S$96)+ IF(Inputs!$U$93&gt;(life_sb+Inputs!$T$93),0,Inputs!$T$96)+ IF(Inputs!$U$93&gt;(life_sb+Inputs!$U$93),0,Inputs!$U$96)</f>
        <v>0</v>
      </c>
      <c r="W21" s="44">
        <f>IF(Inputs!$V$93&gt;=(life_sb+Inputs!$D$93),0,Inputs!$D$96)+IF(Inputs!$V$93&gt;(life_sb+Inputs!$E$93),0,Inputs!$E$96)+ IF(Inputs!$V$93&gt;(life_sb+Inputs!$F$93),0,Inputs!$F$96)+ IF(Inputs!$V$93&gt;(life_sb+Inputs!$G$93),0,Inputs!$G$96)+ IF(Inputs!$V$93&gt;(life_sb+Inputs!$H$93),0,Inputs!$H$96)+ IF(Inputs!$V$93&gt;(life_sb+Inputs!$I$93),0,Inputs!$I$96)+ IF(Inputs!$V$93&gt;(life_sb+Inputs!$J$93),0,Inputs!$J$96)+ IF(Inputs!$V$93&gt;(life_sb+Inputs!$K$93),0,Inputs!$K$96)+ IF(Inputs!$V$93&gt;(life_sb+Inputs!$L$93),0,Inputs!$L$96)+ IF(Inputs!$V$93&gt;(life_sb+Inputs!$M$93),0,Inputs!$M$96)+ IF(Inputs!$V$93&gt;(life_sb+Inputs!$N$93),0,Inputs!$N$96)+ IF(Inputs!$V$93&gt;(life_sb+Inputs!$O$93),0,Inputs!$O$96)+ IF(Inputs!$V$93&gt;(life_sb+Inputs!$P$93),0,Inputs!$P$96)+ IF(Inputs!$V$93&gt;(life_sb+Inputs!$Q$93),0,Inputs!$Q$96)+ IF(Inputs!$V$93&gt;(life_sb+Inputs!$R$93),0,Inputs!$R$96)+ IF(Inputs!$V$93&gt;(life_sb+Inputs!$S$93),0,Inputs!$S$96)+ IF(Inputs!$V$93&gt;(life_sb+Inputs!$T$93),0,Inputs!$T$96)+ IF(Inputs!$V$93&gt;(life_sb+Inputs!$U$93),0,Inputs!$U$96)+ IF(Inputs!$V$93&gt;(life_sb+Inputs!$V$93),0,Inputs!$V$96)</f>
        <v>0</v>
      </c>
      <c r="X21" s="44">
        <f>IF(Inputs!$W$93&gt;=(life_sb+Inputs!$D$93),0,Inputs!$D$96)+ IF(Inputs!$W$93&gt;(life_sb+Inputs!$E$93),0,Inputs!$E$96)+ IF(Inputs!$W$93&gt;(life_sb+Inputs!$F$93),0,Inputs!$F$96)+ IF(Inputs!$W$93&gt;(life_sb+Inputs!$G$93),0,Inputs!$G$96)+ IF(Inputs!$W$93&gt;(life_sb+Inputs!$H$93),0,Inputs!$H$96)+ IF(Inputs!$W$93&gt;(life_sb+Inputs!$I$93),0,Inputs!$I$96)+ IF(Inputs!$W$93&gt;(life_sb+Inputs!$J$93),0,Inputs!$J$96)+ IF(Inputs!$W$93&gt;(life_sb+Inputs!$K$93),0,Inputs!$K$96)+ IF(Inputs!$W$93&gt;(life_sb+Inputs!$L$93),0,Inputs!$L$96)+ IF(Inputs!$W$93&gt;(life_sb+Inputs!$M$93),0,Inputs!$M$96)+ IF(Inputs!$W$93&gt;(life_sb+Inputs!$N$93),0,Inputs!$N$96)+ IF(Inputs!$W$93&gt;(life_sb+Inputs!$O$93),0,Inputs!$O$96)+ IF(Inputs!$W$93&gt;(life_sb+Inputs!$P$93),0,Inputs!$P$96)+ IF(Inputs!$W$93&gt;(life_sb+Inputs!$Q$93),0,Inputs!$Q$96)+ IF(Inputs!$W$93&gt;(life_sb+Inputs!$R$93),0,Inputs!$R$96)+ IF(Inputs!$W$93&gt;(life_sb+Inputs!$S$93),0,Inputs!$S$96)+ IF(Inputs!$W$93&gt;(life_sb+Inputs!$T$93),0,Inputs!$T$96)+ IF(Inputs!$W$93&gt;(life_sb+Inputs!$U$93),0,Inputs!$U$96)+ IF(Inputs!$W$93&gt;(life_sb+Inputs!$V$93),0,Inputs!$V$96)+ IF(Inputs!$W$93&gt;(life_sb+Inputs!$W$93),0,Inputs!$W$96)</f>
        <v>0</v>
      </c>
      <c r="Y21" s="44">
        <f>IF(Inputs!$X$93&gt;=(life_sb+Inputs!$D$93),0,Inputs!$D$96)+ IF(Inputs!$X$93&gt;(life_sb+Inputs!$E$93),0,Inputs!$E$96)+ IF(Inputs!$X$93&gt;(life_sb+Inputs!$F$93),0,Inputs!$F$96)+ IF(Inputs!$X$93&gt;(life_sb+Inputs!$G$93),0,Inputs!$G$96)+ IF(Inputs!$X$93&gt;(life_sb+Inputs!$H$93),0,Inputs!$H$96)+ IF(Inputs!$X$93&gt;(life_sb+Inputs!$I$93),0,Inputs!$I$96)+ IF(Inputs!$X$93&gt;(life_sb+Inputs!$J$93),0,Inputs!$J$96)+ IF(Inputs!$X$93&gt;(life_sb+Inputs!$K$93),0,Inputs!$K$96)+ IF(Inputs!$X$93&gt;(life_sb+Inputs!$L$93),0,Inputs!$L$96)+ IF(Inputs!$X$93&gt;(life_sb+Inputs!$M$93),0,Inputs!$M$96)+ IF(Inputs!$X$93&gt;(life_sb+Inputs!$N$93),0,Inputs!$N$96)+ IF(Inputs!$X$93&gt;(life_sb+Inputs!$O$93),0,Inputs!$O$96)+ IF(Inputs!$X$93&gt;(life_sb+Inputs!$P$93),0,Inputs!$P$96)+ IF(Inputs!$X$93&gt;(life_sb+Inputs!$Q$93),0,Inputs!$Q$96)+ IF(Inputs!$X$93&gt;(life_sb+Inputs!$R$93),0,Inputs!$R$96)+ IF(Inputs!$X$93&gt;(life_sb+Inputs!$S$93),0,Inputs!$S$96)+ IF(Inputs!$X$93&gt;(life_sb+Inputs!$T$93),0,Inputs!$T$96)+ IF(Inputs!$X$93&gt;(life_sb+Inputs!$U$93),0,Inputs!$U$96)+ IF(Inputs!$X$93&gt;(life_sb+Inputs!$V$93),0,Inputs!$V$96)+ IF(Inputs!$X$93&gt;(life_sb+Inputs!$W$93),0,Inputs!$W$96)+ IF(Inputs!$X$93&gt;(life_sb+Inputs!$W$93),0,Inputs!$W$96)</f>
        <v>0</v>
      </c>
    </row>
    <row r="22" spans="1:26" x14ac:dyDescent="0.2">
      <c r="B22" s="433" t="s">
        <v>128</v>
      </c>
      <c r="C22" s="434"/>
      <c r="D22" s="435"/>
      <c r="E22" s="41">
        <f>IF(Inputs!$D$93&gt;(life_tt+Inputs!$D$93),0,Inputs!$D$97)</f>
        <v>0</v>
      </c>
      <c r="F22" s="42">
        <f>IF(Inputs!$E$93&gt;(life_tt+Inputs!$D$93),0,Inputs!$D$97)+IF(Inputs!$E$93&gt;(life_tt+Inputs!$E$93),0,Inputs!$E$97)</f>
        <v>0</v>
      </c>
      <c r="G22" s="42">
        <f>IF(Inputs!$F$93&gt;(life_tt+Inputs!$D$93),0,Inputs!$D$97)+IF(Inputs!$F$93&gt;(life_tt+Inputs!$E$93),0,Inputs!$E$97)+IF(Inputs!$F$93&gt;(life_tt+Inputs!$F$93),0,Inputs!$F$97)</f>
        <v>0</v>
      </c>
      <c r="H22" s="42">
        <f>IF(Inputs!$G$93&gt;(life_tt+Inputs!$D$93),0,Inputs!$D$97)+IF(Inputs!$G$93&gt;(life_tt+Inputs!$E$93),0,Inputs!$E$97)+IF(Inputs!$G$93&gt;(life_tt+Inputs!$F$93),0,Inputs!$F$97)+IF(Inputs!$G$93&gt;(life_tt+Inputs!$G$93),0,Inputs!$G$97)</f>
        <v>0</v>
      </c>
      <c r="I22" s="42">
        <f>IF(Inputs!$H$93&gt;(life_tt+Inputs!$D$93),0,Inputs!$D$97)+IF(Inputs!$H$93&gt;(life_tt+Inputs!$E$93),0,Inputs!$E$97)+IF(Inputs!$H$93&gt;(life_tt+Inputs!$F$93),0,Inputs!$F$97)+IF(Inputs!$H$93&gt;(life_tt+Inputs!$G$93),0,Inputs!$G$97)+IF(Inputs!$H$93&gt;(life_tt+Inputs!$H$93),0,Inputs!$H$97)</f>
        <v>0</v>
      </c>
      <c r="J22" s="42">
        <f>IF(Inputs!$I$93&gt;(life_tt+Inputs!$D$93),0,Inputs!$D$97)+IF(Inputs!I$93&gt;(life_tt+Inputs!$E$93),0,Inputs!$E$97)+IF(Inputs!$I$93&gt;(life_tt+Inputs!$F$93),0,Inputs!$F$97)+IF(Inputs!$I$93&gt;(life_tt+Inputs!$G$93),0,Inputs!$G$97)+IF(Inputs!$I$93&gt;(life_tt+Inputs!$H$93),0,Inputs!$H$97)+IF(Inputs!$I$93&gt;(life_tt+Inputs!$I$93),0,Inputs!$I$97)</f>
        <v>0</v>
      </c>
      <c r="K22" s="42">
        <f>IF(Inputs!$J$93&gt;(life_tt+Inputs!$D$93),0,Inputs!$D$97)+IF(Inputs!$J$93&gt;(life_tt+Inputs!$E$93),0,Inputs!$E$97)+IF(Inputs!$J$93&gt;(life_tt+Inputs!$F$93),0,Inputs!$F$97)+IF(Inputs!$J$93&gt;(life_tt+Inputs!$G$93),0,Inputs!$G$97)+IF(Inputs!$J$93&gt;(life_tt+Inputs!$H$93),0,Inputs!$H$97)+IF(Inputs!$J$93&gt;(life_tt+Inputs!$I$93),0,Inputs!$I$97)+IF(Inputs!$J$93&gt;(life_tt+Inputs!$J$93),0,Inputs!$J$97)</f>
        <v>0</v>
      </c>
      <c r="L22" s="42">
        <f>IF(Inputs!$K$93&gt;(life_tt+Inputs!$D$93),0,Inputs!$D$97)+IF(Inputs!$K$93&gt;(life_tt+Inputs!$E$93),0,Inputs!$E$97)+ IF(Inputs!$K$93&gt;(life_tt+Inputs!$F$93),0,Inputs!$F$97)+ IF(Inputs!$K$93&gt;(life_tt+Inputs!$G$93),0,Inputs!$G$97)+ IF(Inputs!$K$93&gt;(life_tt+Inputs!$H$93),0,Inputs!$H$97)+ IF(Inputs!$K$93&gt;(life_tt+Inputs!$I$93),0,Inputs!$I$97)+ IF(Inputs!$K$93&gt;(life_tt+Inputs!$J$93),0,Inputs!$J$97)+ IF(Inputs!$K$93&gt;(life_tt+Inputs!$K$93),0,Inputs!$K$97)</f>
        <v>0</v>
      </c>
      <c r="M22" s="42">
        <f>IF(Inputs!$L$93&gt;(life_tt+Inputs!$D$93),0,Inputs!$D$97)+ IF(Inputs!$L$93&gt;(life_tt+Inputs!$E$93),0,Inputs!$E$97)+ IF(Inputs!$L$93&gt;(life_tt+Inputs!$F$93),0,Inputs!$F$97)+ IF(Inputs!$L$93&gt;(life_tt+Inputs!$G$93),0,Inputs!$G$97)+ IF(Inputs!$L$93&gt;(life_tt+Inputs!$H$93),0,Inputs!$H$97)+ IF(Inputs!$L$93&gt;(life_tt+Inputs!$I$93),0,Inputs!$I$97)+ IF(Inputs!$L$93&gt;(life_tt+Inputs!$J$93),0,Inputs!$J$97)+ IF(Inputs!$L$93&gt;(life_tt+Inputs!$K$93),0,Inputs!$K$97)+ IF(Inputs!$L$93&gt;(life_tt+Inputs!$L$93),0,Inputs!$L$97)</f>
        <v>0</v>
      </c>
      <c r="N22" s="42">
        <f>IF(Inputs!$M$93&gt;(life_tt+Inputs!$D$93),0,Inputs!$D$97)+ IF(Inputs!$M$93&gt;(life_tt+Inputs!$E$93),0,Inputs!$E$97)+ IF(Inputs!$M$93&gt;(life_tt+Inputs!$F$93),0,Inputs!$F$97)+ IF(Inputs!$M$93&gt;(life_tt+Inputs!$G$93),0,Inputs!$G$97)+ IF(Inputs!$M$93&gt;(life_tt+Inputs!$H$93),0,Inputs!$H$97)+ IF(Inputs!$M$93&gt;(life_tt+Inputs!$I$93),0,Inputs!$I$97)+ IF(Inputs!$M$93&gt;(life_tt+Inputs!$J$93),0,Inputs!$J$97)+ IF(Inputs!$M$93&gt;(life_tt+Inputs!$K$93),0,Inputs!$K$97)+ IF(Inputs!$M$93&gt;(life_tt+Inputs!$L$93),0,Inputs!$L$97)+ IF(Inputs!$M$93&gt;(life_tt+Inputs!$M$93),0,Inputs!$M$97)</f>
        <v>0</v>
      </c>
      <c r="O22" s="42">
        <f>IF(Inputs!$N$93&gt;(life_tt+Inputs!$D$93),0,Inputs!$D$97)+ IF(Inputs!$N$93&gt;(life_tt+Inputs!$E$93),0,Inputs!$E$97)+ IF(Inputs!$N$93&gt;(life_tt+Inputs!$F$93),0,Inputs!$F$97)+ IF(Inputs!$N$93&gt;(life_tt+Inputs!$G$93),0,Inputs!$G$97)+ IF(Inputs!$N$93&gt;(life_tt+Inputs!$H$93),0,Inputs!$H$97)+ IF(Inputs!$N$93&gt;(life_tt+Inputs!$I$93),0,Inputs!$I$97)+ IF(Inputs!$N$93&gt;(life_tt+Inputs!$J$93),0,Inputs!$J$97)+ IF(Inputs!$N$93&gt;(life_tt+Inputs!$K$93),0,Inputs!$K$97)+ IF(Inputs!$N$93&gt;(life_tt+Inputs!$L$93),0,Inputs!$L$97)+ IF(Inputs!$N$93&gt;(life_tt+Inputs!$M$93),0,Inputs!$M$97)+ IF(Inputs!$N$93&gt;(life_tt+Inputs!$N$93),0,Inputs!$N$97)</f>
        <v>0</v>
      </c>
      <c r="P22" s="42">
        <f>IF(Inputs!$O$93&gt;(life_tt+Inputs!$D$93),0,Inputs!$D$97)+ IF(Inputs!$O$93&gt;(life_tt+Inputs!$E$93),0,Inputs!$E$97)+ IF(Inputs!$O$93&gt;(life_tt+Inputs!$F$93),0,Inputs!$F$97)+ IF(Inputs!$O$93&gt;(life_tt+Inputs!$G$93),0,Inputs!$G$97)+ IF(Inputs!$O$93&gt;(life_tt+Inputs!$H$93),0,Inputs!$H$97)+ IF(Inputs!$O$93&gt;(life_tt+Inputs!$I$93),0,Inputs!$I$97)+ IF(Inputs!$O$93&gt;(life_tt+Inputs!$J$93),0,Inputs!$J$97)+ IF(Inputs!$O$93&gt;(life_tt+Inputs!$K$93),0,Inputs!$K$97)+ IF(Inputs!$O$93&gt;(life_tt+Inputs!$L$93),0,Inputs!$L$97)+ IF(Inputs!$O$93&gt;(life_tt+Inputs!$M$93),0,Inputs!$M$97)+ IF(Inputs!$O$93&gt;(life_tt+Inputs!$N$93),0,Inputs!$N$97)+ IF(Inputs!$O$93&gt;(life_tt+Inputs!$O$93),0,Inputs!$O$97)</f>
        <v>0</v>
      </c>
      <c r="Q22" s="42">
        <f>IF(Inputs!$P$93&gt;(life_tt+Inputs!$D$93),0,Inputs!$D$97)+ IF(Inputs!$P$93&gt;(life_tt+Inputs!$E$93),0,Inputs!$E$97)+ IF(Inputs!$P$93&gt;(life_tt+Inputs!$F$93),0,Inputs!$F$97)+ IF(Inputs!$P$93&gt;(life_tt+Inputs!$G$93),0,Inputs!$G$97)+ IF(Inputs!$P$93&gt;(life_tt+Inputs!$H$93),0,Inputs!$H$97)+ IF(Inputs!$P$93&gt;(life_tt+Inputs!$I$93),0,Inputs!$I$97)+ IF(Inputs!$P$93&gt;(life_tt+Inputs!$J$93),0,Inputs!$J$97)+ IF(Inputs!$P$93&gt;(life_tt+Inputs!$K$93),0,Inputs!$K$97)+ IF(Inputs!$P$93&gt;(life_tt+Inputs!$L$93),0,Inputs!$L$97)+ IF(Inputs!$P$93&gt;(life_tt+Inputs!$M$93),0,Inputs!$M$97)+ IF(Inputs!$P$93&gt;(life_tt+Inputs!$N$93),0,Inputs!$N$97)+ IF(Inputs!$P$93&gt;(life_tt+Inputs!$O$93),0,Inputs!$O$97)+ IF(Inputs!$P$93&gt;(life_tt+Inputs!$P$93),0,Inputs!$P$97)</f>
        <v>0</v>
      </c>
      <c r="R22" s="42">
        <f>IF(Inputs!$Q$93&gt;(life_tt+Inputs!$D$93),0,Inputs!$D$97)+ IF(Inputs!$Q$93&gt;(life_tt+Inputs!$E$93),0,Inputs!$E$97)+ IF(Inputs!$Q$93&gt;(life_tt+Inputs!$F$93),0,Inputs!$F$97)+ IF(Inputs!$Q$93&gt;(life_tt+Inputs!$G$93),0,Inputs!$G$97)+ IF(Inputs!$Q$93&gt;(life_tt+Inputs!$H$93),0,Inputs!$H$97)+ IF(Inputs!$Q$93&gt;(life_tt+Inputs!$I$93),0,Inputs!$I$97)+ IF(Inputs!$Q$93&gt;(life_tt+Inputs!$J$93),0,Inputs!$J$97)+ IF(Inputs!$Q$93&gt;(life_tt+Inputs!$K$93),0,Inputs!$K$97)+ IF(Inputs!$Q$93&gt;(life_tt+Inputs!$L$93),0,Inputs!$L$97)+ IF(Inputs!$Q$93&gt;(life_tt+Inputs!$M$93),0,Inputs!$M$97)+ IF(Inputs!$Q$93&gt;(life_tt+Inputs!$N$93),0,Inputs!$N$97)+ IF(Inputs!$Q$93&gt;(life_tt+Inputs!$O$93),0,Inputs!$O$97)+ IF(Inputs!$Q$93&gt;(life_tt+Inputs!$P$93),0,Inputs!$P$97)+ IF(Inputs!$Q$93&gt;(life_tt+Inputs!$Q$93),0,Inputs!$Q$97)</f>
        <v>0</v>
      </c>
      <c r="S22" s="42">
        <f>IF(Inputs!$R$93&gt;(life_tt+Inputs!$D$93),0,Inputs!$D$97)+ IF(Inputs!$R$93&gt;(life_tt+Inputs!$E$93),0,Inputs!$E$97)+ IF(Inputs!$R$93&gt;(life_tt+Inputs!$F$93),0,Inputs!$F$97)+ IF(Inputs!$R$93&gt;(life_tt+Inputs!$G$93),0,Inputs!$G$97)+ IF(Inputs!$R$93&gt;(life_tt+Inputs!$H$93),0,Inputs!$H$97)+ IF(Inputs!$R$93&gt;(life_tt+Inputs!$I$93),0,Inputs!$I$97)+ IF(Inputs!$R$93&gt;(life_tt+Inputs!$J$93),0,Inputs!$J$97)+ IF(Inputs!$R$93&gt;(life_tt+Inputs!$K$93),0,Inputs!$K$97)+ IF(Inputs!$R$93&gt;(life_tt+Inputs!$L$93),0,Inputs!$L$97)+ IF(Inputs!$R$93&gt;(life_tt+Inputs!$M$93),0,Inputs!$M$97)+ IF(Inputs!$R$93&gt;(life_tt+Inputs!$N$93),0,Inputs!$N$97)+ IF(Inputs!$R$93&gt;(life_tt+Inputs!$O$93),0,Inputs!$O$97)+ IF(Inputs!$R$93&gt;(life_tt+Inputs!$P$93),0,Inputs!$P$97)+ IF(Inputs!$R$93&gt;(life_tt+Inputs!$Q$93),0,Inputs!$Q$97)+ IF(Inputs!$R$93&gt;(life_tt+Inputs!$R$93),0,Inputs!$R$97)</f>
        <v>0</v>
      </c>
      <c r="T22" s="42">
        <f>IF(Inputs!$S$93&gt;(life_tt+Inputs!$D$93),0,Inputs!$D$97)+ IF(Inputs!$S$93&gt;(life_tt+Inputs!$E$93),0,Inputs!$E$97)+ IF(Inputs!$S$93&gt;(life_tt+Inputs!$F$93),0,Inputs!$F$97)+ IF(Inputs!$S$93&gt;(life_tt+Inputs!$G$93),0,Inputs!$G$97)+ IF(Inputs!$S$93&gt;(life_tt+Inputs!$H$93),0,Inputs!$H$97)+ IF(Inputs!$S$93&gt;(life_tt+Inputs!$I$93),0,Inputs!$I$97)+ IF(Inputs!S$93&gt;(life_tt+Inputs!$J$93),0,Inputs!$J$97)+ IF(Inputs!$S$93&gt;(life_tt+Inputs!$K$93),0,Inputs!$K$97)+ IF(Inputs!$S$93&gt;(life_tt+Inputs!$L$93),0,Inputs!$L$97)+ IF(Inputs!$S$93&gt;(life_tt+Inputs!$M$93),0,Inputs!$M$97)+ IF(Inputs!$S$93&gt;(life_tt+Inputs!$N$93),0,Inputs!$N$97)+ IF(Inputs!$S$93&gt;(life_tt+Inputs!$O$93),0,Inputs!$O$97)+ IF(Inputs!$S$93&gt;(life_tt+Inputs!$P$93),0,Inputs!$P$97)+ IF(Inputs!$S$93&gt;(life_tt+Inputs!$Q$93),0,Inputs!$Q$97)+ IF(Inputs!$S$93&gt;(life_tt+Inputs!$R$93),0,Inputs!$R$97)+ IF(Inputs!$S$93&gt;(life_tt+Inputs!$S$93),0,Inputs!$S$97)</f>
        <v>0</v>
      </c>
      <c r="U22" s="42">
        <f>IF(Inputs!$T$93&gt;=(life_tt+Inputs!$D$93),0,Inputs!$D$97)+ IF(Inputs!$T$93&gt;(life_tt+Inputs!$E$93),0,Inputs!$E$97)+ IF(Inputs!$T$93&gt;(life_tt+Inputs!$F$93),0,Inputs!$F$97)+ IF(Inputs!$T$93&gt;(life_tt+Inputs!$G$93),0,Inputs!$G$97)+ IF(Inputs!$T$93&gt;(life_tt+Inputs!$H$93),0,Inputs!$H$97)+ IF(Inputs!$T$93&gt;(life_tt+Inputs!$I$93),0,Inputs!$I$97)+ IF(Inputs!$T$93&gt;(life_tt+Inputs!$J$93),0,Inputs!$J$97)+ IF(Inputs!$T$93&gt;(life_tt+Inputs!$K$93),0,Inputs!$K$97)+ IF(Inputs!$T$93&gt;(life_tt+Inputs!$L$93),0,Inputs!$L$97)+ IF(Inputs!$T$93&gt;(life_tt+Inputs!$M$93),0,Inputs!$M$97)+ IF(Inputs!$T$93&gt;(life_tt+Inputs!$N$93),0,Inputs!$N$97)+ IF(Inputs!$T$93&gt;(life_tt+Inputs!$O$93),0,Inputs!$O$97)+ IF(Inputs!$T$93&gt;(life_tt+Inputs!$P$93),0,Inputs!$P$97)+ IF(Inputs!$T$93&gt;(life_tt+Inputs!$Q$93),0,Inputs!$Q$97)+ IF(Inputs!$T$93&gt;(life_tt+Inputs!$R$93),0,Inputs!$R$97)+ IF(Inputs!$T$93&gt;(life_tt+Inputs!$S$93),0,Inputs!$S$97)+ IF(Inputs!$T$93&gt;(life_tt+Inputs!$T$93),0,Inputs!$T$97)</f>
        <v>0</v>
      </c>
      <c r="V22" s="42">
        <f>IF(Inputs!$U$93&gt;=(life_tt+Inputs!$D$93),0,Inputs!$D$97)+ IF(Inputs!$U$93&gt;(life_tt+Inputs!$E$93),0,Inputs!$E$97)+ IF(Inputs!$U$93&gt;(life_tt+Inputs!$F$93),0,Inputs!$F$97)+ IF(Inputs!$U$93&gt;(life_tt+Inputs!$G$93),0,Inputs!$G$97)+ IF(Inputs!$U$93&gt;(life_tt+Inputs!$H$93),0,Inputs!$H$97)+ IF(Inputs!$U$93&gt;(life_tt+Inputs!$I$93),0,Inputs!$I$97)+ IF(Inputs!$U$93&gt;(life_tt+Inputs!$J$93),0,Inputs!$J$97)+ IF(Inputs!$U$93&gt;(life_tt+Inputs!$K$93),0,Inputs!$K$97)+ IF(Inputs!$U$93&gt;(life_tt+Inputs!$L$93),0,Inputs!$L$97)+ IF(Inputs!$U$93&gt;(life_tt+Inputs!$M$93),0,Inputs!$M$97)+ IF(Inputs!$U$93&gt;(life_tt+Inputs!$N$93),0,Inputs!$N$97)+ IF(Inputs!$U$93&gt;(life_tt+Inputs!$O$93),0,Inputs!$O$97)+ IF(Inputs!$U$93&gt;(life_tt+Inputs!$P$93),0,Inputs!$P$97)+ IF(Inputs!$U$93&gt;(life_tt+Inputs!$Q$93),0,Inputs!$Q$97)+ IF(Inputs!$U$93&gt;(life_tt+Inputs!$R$93),0,Inputs!$R$97)+ IF(Inputs!$U$93&gt;(life_tt+Inputs!$S$93),0,Inputs!$S$97)+ IF(Inputs!$U$93&gt;(life_tt+Inputs!$T$93),0,Inputs!$T$97)+ IF(Inputs!$U$93&gt;(life_tt+Inputs!$U$93),0,Inputs!$U$97)</f>
        <v>0</v>
      </c>
      <c r="W22" s="42">
        <f>IF(Inputs!$V$93&gt;=(life_tt+Inputs!$D$93),0,Inputs!$D$97)+IF(Inputs!$V$93&gt;(life_tt+Inputs!$E$93),0,Inputs!$E$97)+ IF(Inputs!$V$93&gt;(life_tt+Inputs!$F$93),0,Inputs!$F$97)+ IF(Inputs!$V$93&gt;(life_tt+Inputs!$G$93),0,Inputs!$G$97)+ IF(Inputs!$V$93&gt;(life_tt+Inputs!$H$93),0,Inputs!$H$97)+ IF(Inputs!$V$93&gt;(life_tt+Inputs!$I$93),0,Inputs!$I$97)+ IF(Inputs!$V$93&gt;(life_tt+Inputs!$J$93),0,Inputs!$J$97)+ IF(Inputs!$V$93&gt;(life_tt+Inputs!$K$93),0,Inputs!$K$97)+ IF(Inputs!$V$93&gt;(life_tt+Inputs!$L$93),0,Inputs!$L$97)+ IF(Inputs!$V$93&gt;(life_tt+Inputs!$M$93),0,Inputs!$M$97)+ IF(Inputs!$V$93&gt;(life_tt+Inputs!$N$93),0,Inputs!$N$97)+ IF(Inputs!$V$93&gt;(life_tt+Inputs!$O$93),0,Inputs!$O$97)+ IF(Inputs!$V$93&gt;(life_tt+Inputs!$P$93),0,Inputs!$P$97)+ IF(Inputs!$V$93&gt;(life_tt+Inputs!$Q$93),0,Inputs!$Q$97)+ IF(Inputs!$V$93&gt;(life_tt+Inputs!$R$93),0,Inputs!$R$97)+ IF(Inputs!$V$93&gt;(life_tt+Inputs!$S$93),0,Inputs!$S$97)+ IF(Inputs!$V$93&gt;(life_tt+Inputs!$T$93),0,Inputs!$T$97)+ IF(Inputs!$V$93&gt;(life_tt+Inputs!$U$93),0,Inputs!$U$97)+ IF(Inputs!$V$93&gt;(life_tt+Inputs!$V$93),0,Inputs!$V$97)</f>
        <v>0</v>
      </c>
      <c r="X22" s="42">
        <f>IF(Inputs!$W$93&gt;=(life_tt+Inputs!$D$93),0,Inputs!$D$97)+ IF(Inputs!$W$93&gt;(life_tt+Inputs!$E$93),0,Inputs!$E$97)+ IF(Inputs!$W$93&gt;(life_tt+Inputs!$F$93),0,Inputs!$F$97)+ IF(Inputs!$W$93&gt;(life_tt+Inputs!$G$93),0,Inputs!$G$97)+ IF(Inputs!$W$93&gt;(life_tt+Inputs!$H$93),0,Inputs!$H$97)+ IF(Inputs!$W$93&gt;(life_tt+Inputs!$I$93),0,Inputs!$I$97)+ IF(Inputs!$W$93&gt;(life_tt+Inputs!$J$93),0,Inputs!$J$97)+ IF(Inputs!$W$93&gt;(life_tt+Inputs!$K$93),0,Inputs!$K$97)+ IF(Inputs!$W$93&gt;(life_tt+Inputs!$L$93),0,Inputs!$L$97)+ IF(Inputs!$W$93&gt;(life_tt+Inputs!$M$93),0,Inputs!$M$97)+ IF(Inputs!$W$93&gt;(life_tt+Inputs!$N$93),0,Inputs!$N$97)+ IF(Inputs!$W$93&gt;(life_tt+Inputs!$O$93),0,Inputs!$O$97)+ IF(Inputs!$W$93&gt;(life_tt+Inputs!$P$93),0,Inputs!$P$97)+ IF(Inputs!$W$93&gt;(life_tt+Inputs!$Q$93),0,Inputs!$Q$97)+ IF(Inputs!$W$93&gt;(life_tt+Inputs!$R$93),0,Inputs!$R$97)+ IF(Inputs!$W$93&gt;(life_tt+Inputs!$S$93),0,Inputs!$S$97)+ IF(Inputs!$W$93&gt;(life_tt+Inputs!$T$93),0,Inputs!$T$97)+ IF(Inputs!$W$93&gt;(life_tt+Inputs!$U$93),0,Inputs!$U$97)+ IF(Inputs!$W$93&gt;(life_tt+Inputs!$V$93),0,Inputs!$V$97)+ IF(Inputs!$W$93&gt;(life_tt+Inputs!$W$93),0,Inputs!$W$97)</f>
        <v>0</v>
      </c>
      <c r="Y22" s="42">
        <f>IF(Inputs!$X$93&gt;=(life_tt+Inputs!$D$93),0,Inputs!$D$97)+ IF(Inputs!$X$93&gt;(life_tt+Inputs!$E$93),0,Inputs!$E$97)+ IF(Inputs!$X$93&gt;(life_tt+Inputs!$F$93),0,Inputs!$F$97)+ IF(Inputs!$X$93&gt;(life_tt+Inputs!$G$93),0,Inputs!$G$97)+ IF(Inputs!$X$93&gt;(life_tt+Inputs!$H$93),0,Inputs!$H$97)+ IF(Inputs!$X$93&gt;(life_tt+Inputs!$I$93),0,Inputs!$I$97)+ IF(Inputs!$X$93&gt;(life_tt+Inputs!$J$93),0,Inputs!$J$97)+ IF(Inputs!$X$93&gt;(life_tt+Inputs!$K$93),0,Inputs!$K$97)+ IF(Inputs!$X$93&gt;(life_tt+Inputs!$L$93),0,Inputs!$L$97)+ IF(Inputs!$X$93&gt;(life_tt+Inputs!$M$93),0,Inputs!$M$97)+ IF(Inputs!$X$93&gt;(life_tt+Inputs!$N$93),0,Inputs!$N$97)+ IF(Inputs!$X$93&gt;(life_tt+Inputs!$O$93),0,Inputs!$O$97)+ IF(Inputs!$X$93&gt;(life_tt+Inputs!$P$93),0,Inputs!$P$97)+ IF(Inputs!$X$93&gt;(life_tt+Inputs!$Q$93),0,Inputs!$Q$97)+ IF(Inputs!$X$93&gt;(life_tt+Inputs!$R$93),0,Inputs!$R$97)+ IF(Inputs!$X$93&gt;(life_tt+Inputs!$S$93),0,Inputs!$S$97)+ IF(Inputs!$X$93&gt;(life_tt+Inputs!$T$93),0,Inputs!$T$97)+ IF(Inputs!$X$93&gt;(life_tt+Inputs!$U$93),0,Inputs!$U$97)+ IF(Inputs!$X$93&gt;(life_tt+Inputs!$V$93),0,Inputs!$V$97)+ IF(Inputs!$X$93&gt;(life_tt+Inputs!$W$93),0,Inputs!$W$97)+ IF(Inputs!$X$93&gt;(life_tt+Inputs!$W$93),0,Inputs!$W$97)</f>
        <v>0</v>
      </c>
    </row>
    <row r="23" spans="1:26" x14ac:dyDescent="0.2">
      <c r="B23" s="439" t="s">
        <v>129</v>
      </c>
      <c r="C23" s="440"/>
      <c r="D23" s="441"/>
      <c r="E23" s="43">
        <f>IF(Inputs!$D$93&gt;(life_ps+Inputs!$D$93),0,Inputs!$D$98)</f>
        <v>0</v>
      </c>
      <c r="F23" s="44">
        <f>IF(Inputs!$E$93&gt;(life_ps+Inputs!$D$93),0,Inputs!$D$98)+IF(Inputs!$E$93&gt;(life_ps+Inputs!$E$93),0,Inputs!$E$98)</f>
        <v>0</v>
      </c>
      <c r="G23" s="44">
        <f>IF(Inputs!$F$93&gt;(life_ps+Inputs!$D$93),0,Inputs!$D$98)+IF(Inputs!$F$93&gt;(life_ps+Inputs!$E$93),0,Inputs!$E$98)+IF(Inputs!$F$93&gt;(life_ps+Inputs!$F$93),0,Inputs!$F$98)</f>
        <v>0</v>
      </c>
      <c r="H23" s="44">
        <f>IF(Inputs!$G$93&gt;(life_ps+Inputs!$D$93),0,Inputs!$D$98)+IF(Inputs!$G$93&gt;(life_ps+Inputs!$E$93),0,Inputs!$E$98)+IF(Inputs!$G$93&gt;(life_ps+Inputs!$F$93),0,Inputs!$F$98)+IF(Inputs!$G$93&gt;(life_ps+Inputs!$G$93),0,Inputs!$G$98)</f>
        <v>0</v>
      </c>
      <c r="I23" s="44">
        <f>IF(Inputs!$H$93&gt;(life_ps+Inputs!$D$93),0,Inputs!$D$98)+IF(Inputs!$H$93&gt;(life_ps+Inputs!$E$93),0,Inputs!$E$98)+IF(Inputs!$H$93&gt;(life_ps+Inputs!$F$93),0,Inputs!$F$98)+IF(Inputs!$H$93&gt;(life_ps+Inputs!$G$93),0,Inputs!$G$98)+IF(Inputs!$H$93&gt;(life_ps+Inputs!$H$93),0,Inputs!$H$98)</f>
        <v>0</v>
      </c>
      <c r="J23" s="44">
        <f>IF(Inputs!$I$93&gt;(life_ps+Inputs!$D$93),0,Inputs!$D$98)+IF(Inputs!I$93&gt;(life_ps+Inputs!$E$93),0,Inputs!$E$98)+IF(Inputs!$I$93&gt;(life_ps+Inputs!$F$93),0,Inputs!$F$98)+IF(Inputs!$I$93&gt;(life_ps+Inputs!$G$93),0,Inputs!$G$98)+IF(Inputs!$I$93&gt;(life_ps+Inputs!$H$93),0,Inputs!$H$98)+IF(Inputs!$I$93&gt;(life_ps+Inputs!$I$93),0,Inputs!$I$98)</f>
        <v>0</v>
      </c>
      <c r="K23" s="44">
        <f>IF(Inputs!$J$93&gt;(life_ps+Inputs!$D$93),0,Inputs!$D$98)+IF(Inputs!$J$93&gt;(life_ps+Inputs!$E$93),0,Inputs!$E$98)+IF(Inputs!$J$93&gt;(life_ps+Inputs!$F$93),0,Inputs!$F$98)+IF(Inputs!$J$93&gt;(life_ps+Inputs!$G$93),0,Inputs!$G$98)+IF(Inputs!$J$93&gt;(life_ps+Inputs!$H$93),0,Inputs!$H$98)+IF(Inputs!$J$93&gt;(life_ps+Inputs!$I$93),0,Inputs!$I$98)+IF(Inputs!$J$93&gt;(life_ps+Inputs!$J$93),0,Inputs!$J$98)</f>
        <v>0</v>
      </c>
      <c r="L23" s="44">
        <f>IF(Inputs!$K$93&gt;(life_ps+Inputs!$D$93),0,Inputs!$D$98)+IF(Inputs!$K$93&gt;(life_ps+Inputs!$E$93),0,Inputs!$E$98)+ IF(Inputs!$K$93&gt;(life_ps+Inputs!$F$93),0,Inputs!$F$98)+ IF(Inputs!$K$93&gt;(life_ps+Inputs!$G$93),0,Inputs!$G$98)+ IF(Inputs!$K$93&gt;(life_ps+Inputs!$H$93),0,Inputs!$H$98)+ IF(Inputs!$K$93&gt;(life_ps+Inputs!$I$93),0,Inputs!$I$98)+ IF(Inputs!$K$93&gt;(life_ps+Inputs!$J$93),0,Inputs!$J$98)+ IF(Inputs!$K$93&gt;(life_ps+Inputs!$K$93),0,Inputs!$K$98)</f>
        <v>0</v>
      </c>
      <c r="M23" s="44">
        <f>IF(Inputs!$L$93&gt;(life_ps+Inputs!$D$93),0,Inputs!$D$98)+ IF(Inputs!$L$93&gt;(life_ps+Inputs!$E$93),0,Inputs!$E$98)+ IF(Inputs!$L$93&gt;(life_ps+Inputs!$F$93),0,Inputs!$F$98)+ IF(Inputs!$L$93&gt;(life_ps+Inputs!$G$93),0,Inputs!$G$98)+ IF(Inputs!$L$93&gt;(life_ps+Inputs!$H$93),0,Inputs!$H$98)+ IF(Inputs!$L$93&gt;(life_ps+Inputs!$I$93),0,Inputs!$I$98)+ IF(Inputs!$L$93&gt;(life_ps+Inputs!$J$93),0,Inputs!$J$98)+ IF(Inputs!$L$93&gt;(life_ps+Inputs!$K$93),0,Inputs!$K$98)+ IF(Inputs!$L$93&gt;(life_ps+Inputs!$L$93),0,Inputs!$L$98)</f>
        <v>0</v>
      </c>
      <c r="N23" s="44">
        <f>IF(Inputs!$M$93&gt;(life_ps+Inputs!$D$93),0,Inputs!$D$98)+ IF(Inputs!$M$93&gt;(life_ps+Inputs!$E$93),0,Inputs!$E$98)+ IF(Inputs!$M$93&gt;(life_ps+Inputs!$F$93),0,Inputs!$F$98)+ IF(Inputs!$M$93&gt;(life_ps+Inputs!$G$93),0,Inputs!$G$98)+ IF(Inputs!$M$93&gt;(life_ps+Inputs!$H$93),0,Inputs!$H$98)+ IF(Inputs!$M$93&gt;(life_ps+Inputs!$I$93),0,Inputs!$I$98)+ IF(Inputs!$M$93&gt;(life_ps+Inputs!$J$93),0,Inputs!$J$98)+ IF(Inputs!$M$93&gt;(life_ps+Inputs!$K$93),0,Inputs!$K$98)+ IF(Inputs!$M$93&gt;(life_ps+Inputs!$L$93),0,Inputs!$L$98)+ IF(Inputs!$M$93&gt;(life_ps+Inputs!$M$93),0,Inputs!$M$98)</f>
        <v>0</v>
      </c>
      <c r="O23" s="44">
        <f>IF(Inputs!$N$93&gt;(life_ps+Inputs!$D$93),0,Inputs!$D$98)+ IF(Inputs!$N$93&gt;(life_ps+Inputs!$E$93),0,Inputs!$E$98)+ IF(Inputs!$N$93&gt;(life_ps+Inputs!$F$93),0,Inputs!$F$98)+ IF(Inputs!$N$93&gt;(life_ps+Inputs!$G$93),0,Inputs!$G$98)+ IF(Inputs!$N$93&gt;(life_ps+Inputs!$H$93),0,Inputs!$H$98)+ IF(Inputs!$N$93&gt;(life_ps+Inputs!$I$93),0,Inputs!$I$98)+ IF(Inputs!$N$93&gt;(life_ps+Inputs!$J$93),0,Inputs!$J$98)+ IF(Inputs!$N$93&gt;(life_ps+Inputs!$K$93),0,Inputs!$K$98)+ IF(Inputs!$N$93&gt;(life_ps+Inputs!$L$93),0,Inputs!$L$98)+ IF(Inputs!$N$93&gt;(life_ps+Inputs!$M$93),0,Inputs!$M$98)+ IF(Inputs!$N$93&gt;(life_ps+Inputs!$N$93),0,Inputs!$N$98)</f>
        <v>0</v>
      </c>
      <c r="P23" s="44">
        <f>IF(Inputs!$O$93&gt;(life_ps+Inputs!$D$93),0,Inputs!$D$98)+ IF(Inputs!$O$93&gt;(life_ps+Inputs!$E$93),0,Inputs!$E$98)+ IF(Inputs!$O$93&gt;(life_ps+Inputs!$F$93),0,Inputs!$F$98)+ IF(Inputs!$O$93&gt;(life_ps+Inputs!$G$93),0,Inputs!$G$98)+ IF(Inputs!$O$93&gt;(life_ps+Inputs!$H$93),0,Inputs!$H$98)+ IF(Inputs!$O$93&gt;(life_ps+Inputs!$I$93),0,Inputs!$I$98)+ IF(Inputs!$O$93&gt;(life_ps+Inputs!$J$93),0,Inputs!$J$98)+ IF(Inputs!$O$93&gt;(life_ps+Inputs!$K$93),0,Inputs!$K$98)+ IF(Inputs!$O$93&gt;(life_ps+Inputs!$L$93),0,Inputs!$L$98)+ IF(Inputs!$O$93&gt;(life_ps+Inputs!$M$93),0,Inputs!$M$98)+ IF(Inputs!$O$93&gt;(life_ps+Inputs!$N$93),0,Inputs!$N$98)+ IF(Inputs!$O$93&gt;(life_ps+Inputs!$O$93),0,Inputs!$O$98)</f>
        <v>0</v>
      </c>
      <c r="Q23" s="44">
        <f>IF(Inputs!$P$93&gt;(life_ps+Inputs!$D$93),0,Inputs!$D$98)+ IF(Inputs!$P$93&gt;(life_ps+Inputs!$E$93),0,Inputs!$E$98)+ IF(Inputs!$P$93&gt;(life_ps+Inputs!$F$93),0,Inputs!$F$98)+ IF(Inputs!$P$93&gt;(life_ps+Inputs!$G$93),0,Inputs!$G$98)+ IF(Inputs!$P$93&gt;(life_ps+Inputs!$H$93),0,Inputs!$H$98)+ IF(Inputs!$P$93&gt;(life_ps+Inputs!$I$93),0,Inputs!$I$98)+ IF(Inputs!$P$93&gt;(life_ps+Inputs!$J$93),0,Inputs!$J$98)+ IF(Inputs!$P$93&gt;(life_ps+Inputs!$K$93),0,Inputs!$K$98)+ IF(Inputs!$P$93&gt;(life_ps+Inputs!$L$93),0,Inputs!$L$98)+ IF(Inputs!$P$93&gt;(life_ps+Inputs!$M$93),0,Inputs!$M$98)+ IF(Inputs!$P$93&gt;(life_ps+Inputs!$N$93),0,Inputs!$N$98)+ IF(Inputs!$P$93&gt;(life_ps+Inputs!$O$93),0,Inputs!$O$98)+ IF(Inputs!$P$93&gt;(life_ps+Inputs!$P$93),0,Inputs!$P$98)</f>
        <v>0</v>
      </c>
      <c r="R23" s="44">
        <f>IF(Inputs!$Q$93&gt;(life_ps+Inputs!$D$93),0,Inputs!$D$98)+ IF(Inputs!$Q$93&gt;(life_ps+Inputs!$E$93),0,Inputs!$E$98)+ IF(Inputs!$Q$93&gt;(life_ps+Inputs!$F$93),0,Inputs!$F$98)+ IF(Inputs!$Q$93&gt;(life_ps+Inputs!$G$93),0,Inputs!$G$98)+ IF(Inputs!$Q$93&gt;(life_ps+Inputs!$H$93),0,Inputs!$H$98)+ IF(Inputs!$Q$93&gt;(life_ps+Inputs!$I$93),0,Inputs!$I$98)+ IF(Inputs!$Q$93&gt;(life_ps+Inputs!$J$93),0,Inputs!$J$98)+ IF(Inputs!$Q$93&gt;(life_ps+Inputs!$K$93),0,Inputs!$K$98)+ IF(Inputs!$Q$93&gt;(life_ps+Inputs!$L$93),0,Inputs!$L$98)+ IF(Inputs!$Q$93&gt;(life_ps+Inputs!$M$93),0,Inputs!$M$98)+ IF(Inputs!$Q$93&gt;(life_ps+Inputs!$N$93),0,Inputs!$N$98)+ IF(Inputs!$Q$93&gt;(life_ps+Inputs!$O$93),0,Inputs!$O$98)+ IF(Inputs!$Q$93&gt;(life_ps+Inputs!$P$93),0,Inputs!$P$98)+ IF(Inputs!$Q$93&gt;(life_ps+Inputs!$Q$93),0,Inputs!$Q$98)</f>
        <v>0</v>
      </c>
      <c r="S23" s="44">
        <f>IF(Inputs!$R$93&gt;(life_ps+Inputs!$D$93),0,Inputs!$D$98)+ IF(Inputs!$R$93&gt;(life_ps+Inputs!$E$93),0,Inputs!$E$98)+ IF(Inputs!$R$93&gt;(life_ps+Inputs!$F$93),0,Inputs!$F$98)+ IF(Inputs!$R$93&gt;(life_ps+Inputs!$G$93),0,Inputs!$G$98)+ IF(Inputs!$R$93&gt;(life_ps+Inputs!$H$93),0,Inputs!$H$98)+ IF(Inputs!$R$93&gt;(life_ps+Inputs!$I$93),0,Inputs!$I$98)+ IF(Inputs!$R$93&gt;(life_ps+Inputs!$J$93),0,Inputs!$J$98)+ IF(Inputs!$R$93&gt;(life_ps+Inputs!$K$93),0,Inputs!$K$98)+ IF(Inputs!$R$93&gt;(life_ps+Inputs!$L$93),0,Inputs!$L$98)+ IF(Inputs!$R$93&gt;(life_ps+Inputs!$M$93),0,Inputs!$M$98)+ IF(Inputs!$R$93&gt;(life_ps+Inputs!$N$93),0,Inputs!$N$98)+ IF(Inputs!$R$93&gt;(life_ps+Inputs!$O$93),0,Inputs!$O$98)+ IF(Inputs!$R$93&gt;(life_ps+Inputs!$P$93),0,Inputs!$P$98)+ IF(Inputs!$R$93&gt;(life_ps+Inputs!$Q$93),0,Inputs!$Q$98)+ IF(Inputs!$R$93&gt;(life_ps+Inputs!$R$93),0,Inputs!$R$98)</f>
        <v>0</v>
      </c>
      <c r="T23" s="44">
        <f>IF(Inputs!$S$93&gt;(life_ps+Inputs!$D$93),0,Inputs!$D$98)+ IF(Inputs!$S$93&gt;(life_ps+Inputs!$E$93),0,Inputs!$E$98)+ IF(Inputs!$S$93&gt;(life_ps+Inputs!$F$93),0,Inputs!$F$98)+ IF(Inputs!$S$93&gt;(life_ps+Inputs!$G$93),0,Inputs!$G$98)+ IF(Inputs!$S$93&gt;(life_ps+Inputs!$H$93),0,Inputs!$H$98)+ IF(Inputs!$S$93&gt;(life_ps+Inputs!$I$93),0,Inputs!$I$98)+ IF(Inputs!S$93&gt;(life_ps+Inputs!$J$93),0,Inputs!$J$98)+ IF(Inputs!$S$93&gt;(life_ps+Inputs!$K$93),0,Inputs!$K$98)+ IF(Inputs!$S$93&gt;(life_ps+Inputs!$L$93),0,Inputs!$L$98)+ IF(Inputs!$S$93&gt;(life_ps+Inputs!$M$93),0,Inputs!$M$98)+ IF(Inputs!$S$93&gt;(life_ps+Inputs!$N$93),0,Inputs!$N$98)+ IF(Inputs!$S$93&gt;(life_ps+Inputs!$O$93),0,Inputs!$O$98)+ IF(Inputs!$S$93&gt;(life_ps+Inputs!$P$93),0,Inputs!$P$98)+ IF(Inputs!$S$93&gt;(life_ps+Inputs!$Q$93),0,Inputs!$Q$98)+ IF(Inputs!$S$93&gt;(life_ps+Inputs!$R$93),0,Inputs!$R$98)+ IF(Inputs!$S$93&gt;(life_ps+Inputs!$S$93),0,Inputs!$S$98)</f>
        <v>0</v>
      </c>
      <c r="U23" s="44">
        <f>IF(Inputs!$T$93&gt;=(life_ps+Inputs!$D$93),0,Inputs!$D$98)+ IF(Inputs!$T$93&gt;(life_ps+Inputs!$E$93),0,Inputs!$E$98)+ IF(Inputs!$T$93&gt;(life_ps+Inputs!$F$93),0,Inputs!$F$98)+ IF(Inputs!$T$93&gt;(life_ps+Inputs!$G$93),0,Inputs!$G$98)+ IF(Inputs!$T$93&gt;(life_ps+Inputs!$H$93),0,Inputs!$H$98)+ IF(Inputs!$T$93&gt;(life_ps+Inputs!$I$93),0,Inputs!$I$98)+ IF(Inputs!$T$93&gt;(life_ps+Inputs!$J$93),0,Inputs!$J$98)+ IF(Inputs!$T$93&gt;(life_ps+Inputs!$K$93),0,Inputs!$K$98)+ IF(Inputs!$T$93&gt;(life_ps+Inputs!$L$93),0,Inputs!$L$98)+ IF(Inputs!$T$93&gt;(life_ps+Inputs!$M$93),0,Inputs!$M$98)+ IF(Inputs!$T$93&gt;(life_ps+Inputs!$N$93),0,Inputs!$N$98)+ IF(Inputs!$T$93&gt;(life_ps+Inputs!$O$93),0,Inputs!$O$98)+ IF(Inputs!$T$93&gt;(life_ps+Inputs!$P$93),0,Inputs!$P$98)+ IF(Inputs!$T$93&gt;(life_ps+Inputs!$Q$93),0,Inputs!$Q$98)+ IF(Inputs!$T$93&gt;(life_ps+Inputs!$R$93),0,Inputs!$R$98)+ IF(Inputs!$T$93&gt;(life_ps+Inputs!$S$93),0,Inputs!$S$98)+ IF(Inputs!$T$93&gt;(life_ps+Inputs!$T$93),0,Inputs!$T$98)</f>
        <v>0</v>
      </c>
      <c r="V23" s="44">
        <f>IF(Inputs!$U$93&gt;=(life_ps+Inputs!$D$93),0,Inputs!$D$98)+ IF(Inputs!$U$93&gt;(life_ps+Inputs!$E$93),0,Inputs!$E$98)+ IF(Inputs!$U$93&gt;(life_ps+Inputs!$F$93),0,Inputs!$F$98)+ IF(Inputs!$U$93&gt;(life_ps+Inputs!$G$93),0,Inputs!$G$98)+ IF(Inputs!$U$93&gt;(life_ps+Inputs!$H$93),0,Inputs!$H$98)+ IF(Inputs!$U$93&gt;(life_ps+Inputs!$I$93),0,Inputs!$I$98)+ IF(Inputs!$U$93&gt;(life_ps+Inputs!$J$93),0,Inputs!$J$98)+ IF(Inputs!$U$93&gt;(life_ps+Inputs!$K$93),0,Inputs!$K$98)+ IF(Inputs!$U$93&gt;(life_ps+Inputs!$L$93),0,Inputs!$L$98)+ IF(Inputs!$U$93&gt;(life_ps+Inputs!$M$93),0,Inputs!$M$98)+ IF(Inputs!$U$93&gt;(life_ps+Inputs!$N$93),0,Inputs!$N$98)+ IF(Inputs!$U$93&gt;(life_ps+Inputs!$O$93),0,Inputs!$O$98)+ IF(Inputs!$U$93&gt;(life_ps+Inputs!$P$93),0,Inputs!$P$98)+ IF(Inputs!$U$93&gt;(life_ps+Inputs!$Q$93),0,Inputs!$Q$98)+ IF(Inputs!$U$93&gt;(life_ps+Inputs!$R$93),0,Inputs!$R$98)+ IF(Inputs!$U$93&gt;(life_ps+Inputs!$S$93),0,Inputs!$S$98)+ IF(Inputs!$U$93&gt;(life_ps+Inputs!$T$93),0,Inputs!$T$98)+ IF(Inputs!$U$93&gt;(life_ps+Inputs!$U$93),0,Inputs!$U$98)</f>
        <v>0</v>
      </c>
      <c r="W23" s="44">
        <f>IF(Inputs!$V$93&gt;=(life_ps+Inputs!$D$93),0,Inputs!$D$98)+IF(Inputs!$V$93&gt;(life_ps+Inputs!$E$93),0,Inputs!$E$98)+ IF(Inputs!$V$93&gt;(life_ps+Inputs!$F$93),0,Inputs!$F$98)+ IF(Inputs!$V$93&gt;(life_ps+Inputs!$G$93),0,Inputs!$G$98)+ IF(Inputs!$V$93&gt;(life_ps+Inputs!$H$93),0,Inputs!$H$98)+ IF(Inputs!$V$93&gt;(life_ps+Inputs!$I$93),0,Inputs!$I$98)+ IF(Inputs!$V$93&gt;(life_ps+Inputs!$J$93),0,Inputs!$J$98)+ IF(Inputs!$V$93&gt;(life_ps+Inputs!$K$93),0,Inputs!$K$98)+ IF(Inputs!$V$93&gt;(life_ps+Inputs!$L$93),0,Inputs!$L$98)+ IF(Inputs!$V$93&gt;(life_ps+Inputs!$M$93),0,Inputs!$M$98)+ IF(Inputs!$V$93&gt;(life_ps+Inputs!$N$93),0,Inputs!$N$98)+ IF(Inputs!$V$93&gt;(life_ps+Inputs!$O$93),0,Inputs!$O$98)+ IF(Inputs!$V$93&gt;(life_ps+Inputs!$P$93),0,Inputs!$P$98)+ IF(Inputs!$V$93&gt;(life_ps+Inputs!$Q$93),0,Inputs!$Q$98)+ IF(Inputs!$V$93&gt;(life_ps+Inputs!$R$93),0,Inputs!$R$98)+ IF(Inputs!$V$93&gt;(life_ps+Inputs!$S$93),0,Inputs!$S$98)+ IF(Inputs!$V$93&gt;(life_ps+Inputs!$T$93),0,Inputs!$T$98)+ IF(Inputs!$V$93&gt;(life_ps+Inputs!$U$93),0,Inputs!$U$98)+ IF(Inputs!$V$93&gt;(life_ps+Inputs!$V$93),0,Inputs!$V$98)</f>
        <v>0</v>
      </c>
      <c r="X23" s="44">
        <f>IF(Inputs!$W$93&gt;=(life_ps+Inputs!$D$93),0,Inputs!$D$98)+ IF(Inputs!$W$93&gt;(life_ps+Inputs!$E$93),0,Inputs!$E$98)+ IF(Inputs!$W$93&gt;(life_ps+Inputs!$F$93),0,Inputs!$F$98)+ IF(Inputs!$W$93&gt;(life_ps+Inputs!$G$93),0,Inputs!$G$98)+ IF(Inputs!$W$93&gt;(life_ps+Inputs!$H$93),0,Inputs!$H$98)+ IF(Inputs!$W$93&gt;(life_ps+Inputs!$I$93),0,Inputs!$I$98)+ IF(Inputs!$W$93&gt;(life_ps+Inputs!$J$93),0,Inputs!$J$98)+ IF(Inputs!$W$93&gt;(life_ps+Inputs!$K$93),0,Inputs!$K$98)+ IF(Inputs!$W$93&gt;(life_ps+Inputs!$L$93),0,Inputs!$L$98)+ IF(Inputs!$W$93&gt;(life_ps+Inputs!$M$93),0,Inputs!$M$98)+ IF(Inputs!$W$93&gt;(life_ps+Inputs!$N$93),0,Inputs!$N$98)+ IF(Inputs!$W$93&gt;(life_ps+Inputs!$O$93),0,Inputs!$O$98)+ IF(Inputs!$W$93&gt;(life_ps+Inputs!$P$93),0,Inputs!$P$98)+ IF(Inputs!$W$93&gt;(life_ps+Inputs!$Q$93),0,Inputs!$Q$98)+ IF(Inputs!$W$93&gt;(life_ps+Inputs!$R$93),0,Inputs!$R$98)+ IF(Inputs!$W$93&gt;(life_ps+Inputs!$S$93),0,Inputs!$S$98)+ IF(Inputs!$W$93&gt;(life_ps+Inputs!$T$93),0,Inputs!$T$98)+ IF(Inputs!$W$93&gt;(life_ps+Inputs!$U$93),0,Inputs!$U$98)+ IF(Inputs!$W$93&gt;(life_ps+Inputs!$V$93),0,Inputs!$V$98)+ IF(Inputs!$W$93&gt;(life_ps+Inputs!$W$93),0,Inputs!$W$98)</f>
        <v>0</v>
      </c>
      <c r="Y23" s="44">
        <f>IF(Inputs!$X$93&gt;=(life_ps+Inputs!$D$93),0,Inputs!$D$98)+ IF(Inputs!$X$93&gt;(life_ps+Inputs!$E$93),0,Inputs!$E$98)+ IF(Inputs!$X$93&gt;(life_ps+Inputs!$F$93),0,Inputs!$F$98)+ IF(Inputs!$X$93&gt;(life_ps+Inputs!$G$93),0,Inputs!$G$98)+ IF(Inputs!$X$93&gt;(life_ps+Inputs!$H$93),0,Inputs!$H$98)+ IF(Inputs!$X$93&gt;(life_ps+Inputs!$I$93),0,Inputs!$I$98)+ IF(Inputs!$X$93&gt;(life_ps+Inputs!$J$93),0,Inputs!$J$98)+ IF(Inputs!$X$93&gt;(life_ps+Inputs!$K$93),0,Inputs!$K$98)+ IF(Inputs!$X$93&gt;(life_ps+Inputs!$L$93),0,Inputs!$L$98)+ IF(Inputs!$X$93&gt;(life_ps+Inputs!$M$93),0,Inputs!$M$98)+ IF(Inputs!$X$93&gt;(life_ps+Inputs!$N$93),0,Inputs!$N$98)+ IF(Inputs!$X$93&gt;(life_ps+Inputs!$O$93),0,Inputs!$O$98)+ IF(Inputs!$X$93&gt;(life_ps+Inputs!$P$93),0,Inputs!$P$98)+ IF(Inputs!$X$93&gt;(life_ps+Inputs!$Q$93),0,Inputs!$Q$98)+ IF(Inputs!$X$93&gt;(life_ps+Inputs!$R$93),0,Inputs!$R$98)+ IF(Inputs!$X$93&gt;(life_ps+Inputs!$S$93),0,Inputs!$S$98)+ IF(Inputs!$X$93&gt;(life_ps+Inputs!$T$93),0,Inputs!$T$98)+ IF(Inputs!$X$93&gt;(life_ps+Inputs!$U$93),0,Inputs!$U$98)+ IF(Inputs!$X$93&gt;(life_ps+Inputs!$V$93),0,Inputs!$V$98)+ IF(Inputs!$X$93&gt;(life_ps+Inputs!$W$93),0,Inputs!$W$98)+ IF(Inputs!$X$93&gt;(life_ps+Inputs!$W$93),0,Inputs!$W$98)</f>
        <v>0</v>
      </c>
    </row>
    <row r="24" spans="1:26" x14ac:dyDescent="0.2">
      <c r="B24" s="433" t="s">
        <v>130</v>
      </c>
      <c r="C24" s="434"/>
      <c r="D24" s="435"/>
      <c r="E24" s="41">
        <f>IF(Inputs!$D$93&gt;(life_dt+Inputs!$D$93),0,Inputs!$D$99)</f>
        <v>0</v>
      </c>
      <c r="F24" s="42">
        <f>IF(Inputs!$E$93&gt;(life_dt+Inputs!$D$93),0,Inputs!$D$99)+IF(Inputs!$E$93&gt;(life_dt+Inputs!$E$93),0,Inputs!$E$99)</f>
        <v>0</v>
      </c>
      <c r="G24" s="42">
        <f>IF(Inputs!$F$93&gt;(life_dt+Inputs!$D$93),0,Inputs!$D$99)+IF(Inputs!$F$93&gt;(life_dt+Inputs!$E$93),0,Inputs!$E$99)+IF(Inputs!$F$93&gt;(life_dt+Inputs!$F$93),0,Inputs!$F$99)</f>
        <v>0</v>
      </c>
      <c r="H24" s="42">
        <f>IF(Inputs!$G$93&gt;(life_dt+Inputs!$D$93),0,Inputs!$D$99)+IF(Inputs!$G$93&gt;(life_dt+Inputs!$E$93),0,Inputs!$E$99)+IF(Inputs!$G$93&gt;(life_dt+Inputs!$F$93),0,Inputs!$F$99)+IF(Inputs!$G$93&gt;(life_dt+Inputs!$G$93),0,Inputs!$G$99)</f>
        <v>0</v>
      </c>
      <c r="I24" s="42">
        <f>IF(Inputs!$H$93&gt;(life_dt+Inputs!$D$93),0,Inputs!$D$99)+IF(Inputs!$H$93&gt;(life_dt+Inputs!$E$93),0,Inputs!$E$99)+IF(Inputs!$H$93&gt;(life_dt+Inputs!$F$93),0,Inputs!$F$99)+IF(Inputs!$H$93&gt;(life_dt+Inputs!$G$93),0,Inputs!$G$99)+IF(Inputs!$H$93&gt;(life_dt+Inputs!$H$93),0,Inputs!$H$99)</f>
        <v>0</v>
      </c>
      <c r="J24" s="42">
        <f>IF(Inputs!$I$93&gt;(life_dt+Inputs!$D$93),0,Inputs!$D$99)+IF(Inputs!I$93&gt;(life_dt+Inputs!$E$93),0,Inputs!$E$99)+IF(Inputs!$I$93&gt;(life_dt+Inputs!$F$93),0,Inputs!$F$99)+IF(Inputs!$I$93&gt;(life_dt+Inputs!$G$93),0,Inputs!$G$99)+IF(Inputs!$I$93&gt;(life_dt+Inputs!$H$93),0,Inputs!$H$99)+IF(Inputs!$I$93&gt;(life_dt+Inputs!$I$93),0,Inputs!$I$99)</f>
        <v>0</v>
      </c>
      <c r="K24" s="42">
        <f>IF(Inputs!$J$93&gt;(life_dt+Inputs!$D$93),0,Inputs!$D$99)+IF(Inputs!$J$93&gt;(life_dt+Inputs!$E$93),0,Inputs!$E$99)+IF(Inputs!$J$93&gt;(life_dt+Inputs!$F$93),0,Inputs!$F$99)+IF(Inputs!$J$93&gt;(life_dt+Inputs!$G$93),0,Inputs!$G$99)+IF(Inputs!$J$93&gt;(life_dt+Inputs!$H$93),0,Inputs!$H$99)+IF(Inputs!$J$93&gt;(life_dt+Inputs!$I$93),0,Inputs!$I$99)+IF(Inputs!$J$93&gt;(life_dt+Inputs!$J$93),0,Inputs!$J$99)</f>
        <v>0</v>
      </c>
      <c r="L24" s="42">
        <f>IF(Inputs!$K$93&gt;(life_dt+Inputs!$D$93),0,Inputs!$D$99)+IF(Inputs!$K$93&gt;(life_dt+Inputs!$E$93),0,Inputs!$E$99)+ IF(Inputs!$K$93&gt;(life_dt+Inputs!$F$93),0,Inputs!$F$99)+ IF(Inputs!$K$93&gt;(life_dt+Inputs!$G$93),0,Inputs!$G$99)+ IF(Inputs!$K$93&gt;(life_dt+Inputs!$H$93),0,Inputs!$H$99)+ IF(Inputs!$K$93&gt;(life_dt+Inputs!$I$93),0,Inputs!$I$99)+ IF(Inputs!$K$93&gt;(life_dt+Inputs!$J$93),0,Inputs!$J$99)+ IF(Inputs!$K$93&gt;(life_dt+Inputs!$K$93),0,Inputs!$K$99)</f>
        <v>0</v>
      </c>
      <c r="M24" s="42">
        <f>IF(Inputs!$L$93&gt;(life_dt+Inputs!$D$93),0,Inputs!$D$99)+ IF(Inputs!$L$93&gt;(life_dt+Inputs!$E$93),0,Inputs!$E$99)+ IF(Inputs!$L$93&gt;(life_dt+Inputs!$F$93),0,Inputs!$F$99)+ IF(Inputs!$L$93&gt;(life_dt+Inputs!$G$93),0,Inputs!$G$99)+ IF(Inputs!$L$93&gt;(life_dt+Inputs!$H$93),0,Inputs!$H$99)+ IF(Inputs!$L$93&gt;(life_dt+Inputs!$I$93),0,Inputs!$I$99)+ IF(Inputs!$L$93&gt;(life_dt+Inputs!$J$93),0,Inputs!$J$99)+ IF(Inputs!$L$93&gt;(life_dt+Inputs!$K$93),0,Inputs!$K$99)+ IF(Inputs!$L$93&gt;(life_dt+Inputs!$L$93),0,Inputs!$L$99)</f>
        <v>0</v>
      </c>
      <c r="N24" s="42">
        <f>IF(Inputs!$M$93&gt;(life_dt+Inputs!$D$93),0,Inputs!$D$99)+ IF(Inputs!$M$93&gt;(life_dt+Inputs!$E$93),0,Inputs!$E$99)+ IF(Inputs!$M$93&gt;(life_dt+Inputs!$F$93),0,Inputs!$F$99)+ IF(Inputs!$M$93&gt;(life_dt+Inputs!$G$93),0,Inputs!$G$99)+ IF(Inputs!$M$93&gt;(life_dt+Inputs!$H$93),0,Inputs!$H$99)+ IF(Inputs!$M$93&gt;(life_dt+Inputs!$I$93),0,Inputs!$I$99)+ IF(Inputs!$M$93&gt;(life_dt+Inputs!$J$93),0,Inputs!$J$99)+ IF(Inputs!$M$93&gt;(life_dt+Inputs!$K$93),0,Inputs!$K$99)+ IF(Inputs!$M$93&gt;(life_dt+Inputs!$L$93),0,Inputs!$L$99)+ IF(Inputs!$M$93&gt;(life_dt+Inputs!$M$93),0,Inputs!$M$99)</f>
        <v>0</v>
      </c>
      <c r="O24" s="42">
        <f>IF(Inputs!$N$93&gt;(life_dt+Inputs!$D$93),0,Inputs!$D$99)+ IF(Inputs!$N$93&gt;(life_dt+Inputs!$E$93),0,Inputs!$E$99)+ IF(Inputs!$N$93&gt;(life_dt+Inputs!$F$93),0,Inputs!$F$99)+ IF(Inputs!$N$93&gt;(life_dt+Inputs!$G$93),0,Inputs!$G$99)+ IF(Inputs!$N$93&gt;(life_dt+Inputs!$H$93),0,Inputs!$H$99)+ IF(Inputs!$N$93&gt;(life_dt+Inputs!$I$93),0,Inputs!$I$99)+ IF(Inputs!$N$93&gt;(life_dt+Inputs!$J$93),0,Inputs!$J$99)+ IF(Inputs!$N$93&gt;(life_dt+Inputs!$K$93),0,Inputs!$K$99)+ IF(Inputs!$N$93&gt;(life_dt+Inputs!$L$93),0,Inputs!$L$99)+ IF(Inputs!$N$93&gt;(life_dt+Inputs!$M$93),0,Inputs!$M$99)+ IF(Inputs!$N$93&gt;(life_dt+Inputs!$N$93),0,Inputs!$N$99)</f>
        <v>0</v>
      </c>
      <c r="P24" s="42">
        <f>IF(Inputs!$O$93&gt;(life_dt+Inputs!$D$93),0,Inputs!$D$99)+ IF(Inputs!$O$93&gt;(life_dt+Inputs!$E$93),0,Inputs!$E$99)+ IF(Inputs!$O$93&gt;(life_dt+Inputs!$F$93),0,Inputs!$F$99)+ IF(Inputs!$O$93&gt;(life_dt+Inputs!$G$93),0,Inputs!$G$99)+ IF(Inputs!$O$93&gt;(life_dt+Inputs!$H$93),0,Inputs!$H$99)+ IF(Inputs!$O$93&gt;(life_dt+Inputs!$I$93),0,Inputs!$I$99)+ IF(Inputs!$O$93&gt;(life_dt+Inputs!$J$93),0,Inputs!$J$99)+ IF(Inputs!$O$93&gt;(life_dt+Inputs!$K$93),0,Inputs!$K$99)+ IF(Inputs!$O$93&gt;(life_dt+Inputs!$L$93),0,Inputs!$L$99)+ IF(Inputs!$O$93&gt;(life_dt+Inputs!$M$93),0,Inputs!$M$99)+ IF(Inputs!$O$93&gt;(life_dt+Inputs!$N$93),0,Inputs!$N$99)+ IF(Inputs!$O$93&gt;(life_dt+Inputs!$O$93),0,Inputs!$O$99)</f>
        <v>0</v>
      </c>
      <c r="Q24" s="42">
        <f>IF(Inputs!$P$93&gt;(life_dt+Inputs!$D$93),0,Inputs!$D$99)+ IF(Inputs!$P$93&gt;(life_dt+Inputs!$E$93),0,Inputs!$E$99)+ IF(Inputs!$P$93&gt;(life_dt+Inputs!$F$93),0,Inputs!$F$99)+ IF(Inputs!$P$93&gt;(life_dt+Inputs!$G$93),0,Inputs!$G$99)+ IF(Inputs!$P$93&gt;(life_dt+Inputs!$H$93),0,Inputs!$H$99)+ IF(Inputs!$P$93&gt;(life_dt+Inputs!$I$93),0,Inputs!$I$99)+ IF(Inputs!$P$93&gt;(life_dt+Inputs!$J$93),0,Inputs!$J$99)+ IF(Inputs!$P$93&gt;(life_dt+Inputs!$K$93),0,Inputs!$K$99)+ IF(Inputs!$P$93&gt;(life_dt+Inputs!$L$93),0,Inputs!$L$99)+ IF(Inputs!$P$93&gt;(life_dt+Inputs!$M$93),0,Inputs!$M$99)+ IF(Inputs!$P$93&gt;(life_dt+Inputs!$N$93),0,Inputs!$N$99)+ IF(Inputs!$P$93&gt;(life_dt+Inputs!$O$93),0,Inputs!$O$99)+ IF(Inputs!$P$93&gt;(life_dt+Inputs!$P$93),0,Inputs!$P$99)</f>
        <v>0</v>
      </c>
      <c r="R24" s="42">
        <f>IF(Inputs!$Q$93&gt;(life_dt+Inputs!$D$93),0,Inputs!$D$99)+ IF(Inputs!$Q$93&gt;(life_dt+Inputs!$E$93),0,Inputs!$E$99)+ IF(Inputs!$Q$93&gt;(life_dt+Inputs!$F$93),0,Inputs!$F$99)+ IF(Inputs!$Q$93&gt;(life_dt+Inputs!$G$93),0,Inputs!$G$99)+ IF(Inputs!$Q$93&gt;(life_dt+Inputs!$H$93),0,Inputs!$H$99)+ IF(Inputs!$Q$93&gt;(life_dt+Inputs!$I$93),0,Inputs!$I$99)+ IF(Inputs!$Q$93&gt;(life_dt+Inputs!$J$93),0,Inputs!$J$99)+ IF(Inputs!$Q$93&gt;(life_dt+Inputs!$K$93),0,Inputs!$K$99)+ IF(Inputs!$Q$93&gt;(life_dt+Inputs!$L$93),0,Inputs!$L$99)+ IF(Inputs!$Q$93&gt;(life_dt+Inputs!$M$93),0,Inputs!$M$99)+ IF(Inputs!$Q$93&gt;(life_dt+Inputs!$N$93),0,Inputs!$N$99)+ IF(Inputs!$Q$93&gt;(life_dt+Inputs!$O$93),0,Inputs!$O$99)+ IF(Inputs!$Q$93&gt;(life_dt+Inputs!$P$93),0,Inputs!$P$99)+ IF(Inputs!$Q$93&gt;(life_dt+Inputs!$Q$93),0,Inputs!$Q$99)</f>
        <v>0</v>
      </c>
      <c r="S24" s="42">
        <f>IF(Inputs!$R$93&gt;(life_dt+Inputs!$D$93),0,Inputs!$D$99)+ IF(Inputs!$R$93&gt;(life_dt+Inputs!$E$93),0,Inputs!$E$99)+ IF(Inputs!$R$93&gt;(life_dt+Inputs!$F$93),0,Inputs!$F$99)+ IF(Inputs!$R$93&gt;(life_dt+Inputs!$G$93),0,Inputs!$G$99)+ IF(Inputs!$R$93&gt;(life_dt+Inputs!$H$93),0,Inputs!$H$99)+ IF(Inputs!$R$93&gt;(life_dt+Inputs!$I$93),0,Inputs!$I$99)+ IF(Inputs!$R$93&gt;(life_dt+Inputs!$J$93),0,Inputs!$J$99)+ IF(Inputs!$R$93&gt;(life_dt+Inputs!$K$93),0,Inputs!$K$99)+ IF(Inputs!$R$93&gt;(life_dt+Inputs!$L$93),0,Inputs!$L$99)+ IF(Inputs!$R$93&gt;(life_dt+Inputs!$M$93),0,Inputs!$M$99)+ IF(Inputs!$R$93&gt;(life_dt+Inputs!$N$93),0,Inputs!$N$99)+ IF(Inputs!$R$93&gt;(life_dt+Inputs!$O$93),0,Inputs!$O$99)+ IF(Inputs!$R$93&gt;(life_dt+Inputs!$P$93),0,Inputs!$P$99)+ IF(Inputs!$R$93&gt;(life_dt+Inputs!$Q$93),0,Inputs!$Q$99)+ IF(Inputs!$R$93&gt;(life_dt+Inputs!$R$93),0,Inputs!$R$99)</f>
        <v>0</v>
      </c>
      <c r="T24" s="42">
        <f>IF(Inputs!$S$93&gt;(life_dt+Inputs!$D$93),0,Inputs!$D$99)+ IF(Inputs!$S$93&gt;(life_dt+Inputs!$E$93),0,Inputs!$E$99)+ IF(Inputs!$S$93&gt;(life_dt+Inputs!$F$93),0,Inputs!$F$99)+ IF(Inputs!$S$93&gt;(life_dt+Inputs!$G$93),0,Inputs!$G$99)+ IF(Inputs!$S$93&gt;(life_dt+Inputs!$H$93),0,Inputs!$H$99)+ IF(Inputs!$S$93&gt;(life_dt+Inputs!$I$93),0,Inputs!$I$99)+ IF(Inputs!S$93&gt;(life_dt+Inputs!$J$93),0,Inputs!$J$99)+ IF(Inputs!$S$93&gt;(life_dt+Inputs!$K$93),0,Inputs!$K$99)+ IF(Inputs!$S$93&gt;(life_dt+Inputs!$L$93),0,Inputs!$L$99)+ IF(Inputs!$S$93&gt;(life_dt+Inputs!$M$93),0,Inputs!$M$99)+ IF(Inputs!$S$93&gt;(life_dt+Inputs!$N$93),0,Inputs!$N$99)+ IF(Inputs!$S$93&gt;(life_dt+Inputs!$O$93),0,Inputs!$O$99)+ IF(Inputs!$S$93&gt;(life_dt+Inputs!$P$93),0,Inputs!$P$99)+ IF(Inputs!$S$93&gt;(life_dt+Inputs!$Q$93),0,Inputs!$Q$99)+ IF(Inputs!$S$93&gt;(life_dt+Inputs!$R$93),0,Inputs!$R$99)+ IF(Inputs!$S$93&gt;(life_dt+Inputs!$S$93),0,Inputs!$S$99)</f>
        <v>0</v>
      </c>
      <c r="U24" s="42">
        <f>IF(Inputs!$T$93&gt;=(life_dt+Inputs!$D$93),0,Inputs!$D$99)+ IF(Inputs!$T$93&gt;(life_dt+Inputs!$E$93),0,Inputs!$E$99)+ IF(Inputs!$T$93&gt;(life_dt+Inputs!$F$93),0,Inputs!$F$99)+ IF(Inputs!$T$93&gt;(life_dt+Inputs!$G$93),0,Inputs!$G$99)+ IF(Inputs!$T$93&gt;(life_dt+Inputs!$H$93),0,Inputs!$H$99)+ IF(Inputs!$T$93&gt;(life_dt+Inputs!$I$93),0,Inputs!$I$99)+ IF(Inputs!$T$93&gt;(life_dt+Inputs!$J$93),0,Inputs!$J$99)+ IF(Inputs!$T$93&gt;(life_dt+Inputs!$K$93),0,Inputs!$K$99)+ IF(Inputs!$T$93&gt;(life_dt+Inputs!$L$93),0,Inputs!$L$99)+ IF(Inputs!$T$93&gt;(life_dt+Inputs!$M$93),0,Inputs!$M$99)+ IF(Inputs!$T$93&gt;(life_dt+Inputs!$N$93),0,Inputs!$N$99)+ IF(Inputs!$T$93&gt;(life_dt+Inputs!$O$93),0,Inputs!$O$99)+ IF(Inputs!$T$93&gt;(life_dt+Inputs!$P$93),0,Inputs!$P$99)+ IF(Inputs!$T$93&gt;(life_dt+Inputs!$Q$93),0,Inputs!$Q$99)+ IF(Inputs!$T$93&gt;(life_dt+Inputs!$R$93),0,Inputs!$R$99)+ IF(Inputs!$T$93&gt;(life_dt+Inputs!$S$93),0,Inputs!$S$99)+ IF(Inputs!$T$93&gt;(life_dt+Inputs!$T$93),0,Inputs!$T$99)</f>
        <v>0</v>
      </c>
      <c r="V24" s="42">
        <f>IF(Inputs!$U$93&gt;=(life_dt+Inputs!$D$93),0,Inputs!$D$99)+ IF(Inputs!$U$93&gt;(life_dt+Inputs!$E$93),0,Inputs!$E$99)+ IF(Inputs!$U$93&gt;(life_dt+Inputs!$F$93),0,Inputs!$F$99)+ IF(Inputs!$U$93&gt;(life_dt+Inputs!$G$93),0,Inputs!$G$99)+ IF(Inputs!$U$93&gt;(life_dt+Inputs!$H$93),0,Inputs!$H$99)+ IF(Inputs!$U$93&gt;(life_dt+Inputs!$I$93),0,Inputs!$I$99)+ IF(Inputs!$U$93&gt;(life_dt+Inputs!$J$93),0,Inputs!$J$99)+ IF(Inputs!$U$93&gt;(life_dt+Inputs!$K$93),0,Inputs!$K$99)+ IF(Inputs!$U$93&gt;(life_dt+Inputs!$L$93),0,Inputs!$L$99)+ IF(Inputs!$U$93&gt;(life_dt+Inputs!$M$93),0,Inputs!$M$99)+ IF(Inputs!$U$93&gt;(life_dt+Inputs!$N$93),0,Inputs!$N$99)+ IF(Inputs!$U$93&gt;(life_dt+Inputs!$O$93),0,Inputs!$O$99)+ IF(Inputs!$U$93&gt;(life_dt+Inputs!$P$93),0,Inputs!$P$99)+ IF(Inputs!$U$93&gt;(life_dt+Inputs!$Q$93),0,Inputs!$Q$99)+ IF(Inputs!$U$93&gt;(life_dt+Inputs!$R$93),0,Inputs!$R$99)+ IF(Inputs!$U$93&gt;(life_dt+Inputs!$S$93),0,Inputs!$S$99)+ IF(Inputs!$U$93&gt;(life_dt+Inputs!$T$93),0,Inputs!$T$99)+ IF(Inputs!$U$93&gt;(life_dt+Inputs!$U$93),0,Inputs!$U$99)</f>
        <v>0</v>
      </c>
      <c r="W24" s="42">
        <f>IF(Inputs!$V$93&gt;=(life_dt+Inputs!$D$93),0,Inputs!$D$99)+IF(Inputs!$V$93&gt;(life_dt+Inputs!$E$93),0,Inputs!$E$99)+ IF(Inputs!$V$93&gt;(life_dt+Inputs!$F$93),0,Inputs!$F$99)+ IF(Inputs!$V$93&gt;(life_dt+Inputs!$G$93),0,Inputs!$G$99)+ IF(Inputs!$V$93&gt;(life_dt+Inputs!$H$93),0,Inputs!$H$99)+ IF(Inputs!$V$93&gt;(life_dt+Inputs!$I$93),0,Inputs!$I$99)+ IF(Inputs!$V$93&gt;(life_dt+Inputs!$J$93),0,Inputs!$J$99)+ IF(Inputs!$V$93&gt;(life_dt+Inputs!$K$93),0,Inputs!$K$99)+ IF(Inputs!$V$93&gt;(life_dt+Inputs!$L$93),0,Inputs!$L$99)+ IF(Inputs!$V$93&gt;(life_dt+Inputs!$M$93),0,Inputs!$M$99)+ IF(Inputs!$V$93&gt;(life_dt+Inputs!$N$93),0,Inputs!$N$99)+ IF(Inputs!$V$93&gt;(life_dt+Inputs!$O$93),0,Inputs!$O$99)+ IF(Inputs!$V$93&gt;(life_dt+Inputs!$P$93),0,Inputs!$P$99)+ IF(Inputs!$V$93&gt;(life_dt+Inputs!$Q$93),0,Inputs!$Q$99)+ IF(Inputs!$V$93&gt;(life_dt+Inputs!$R$93),0,Inputs!$R$99)+ IF(Inputs!$V$93&gt;(life_dt+Inputs!$S$93),0,Inputs!$S$99)+ IF(Inputs!$V$93&gt;(life_dt+Inputs!$T$93),0,Inputs!$T$99)+ IF(Inputs!$V$93&gt;(life_dt+Inputs!$U$93),0,Inputs!$U$99)+ IF(Inputs!$V$93&gt;(life_dt+Inputs!$V$93),0,Inputs!$V$99)</f>
        <v>0</v>
      </c>
      <c r="X24" s="42">
        <f>IF(Inputs!$W$93&gt;=(life_dt+Inputs!$D$93),0,Inputs!$D$99)+ IF(Inputs!$W$93&gt;(life_dt+Inputs!$E$93),0,Inputs!$E$99)+ IF(Inputs!$W$93&gt;(life_dt+Inputs!$F$93),0,Inputs!$F$99)+ IF(Inputs!$W$93&gt;(life_dt+Inputs!$G$93),0,Inputs!$G$99)+ IF(Inputs!$W$93&gt;(life_dt+Inputs!$H$93),0,Inputs!$H$99)+ IF(Inputs!$W$93&gt;(life_dt+Inputs!$I$93),0,Inputs!$I$99)+ IF(Inputs!$W$93&gt;(life_dt+Inputs!$J$93),0,Inputs!$J$99)+ IF(Inputs!$W$93&gt;(life_dt+Inputs!$K$93),0,Inputs!$K$99)+ IF(Inputs!$W$93&gt;(life_dt+Inputs!$L$93),0,Inputs!$L$99)+ IF(Inputs!$W$93&gt;(life_dt+Inputs!$M$93),0,Inputs!$M$99)+ IF(Inputs!$W$93&gt;(life_dt+Inputs!$N$93),0,Inputs!$N$99)+ IF(Inputs!$W$93&gt;(life_dt+Inputs!$O$93),0,Inputs!$O$99)+ IF(Inputs!$W$93&gt;(life_dt+Inputs!$P$93),0,Inputs!$P$99)+ IF(Inputs!$W$93&gt;(life_dt+Inputs!$Q$93),0,Inputs!$Q$99)+ IF(Inputs!$W$93&gt;(life_dt+Inputs!$R$93),0,Inputs!$R$99)+ IF(Inputs!$W$93&gt;(life_dt+Inputs!$S$93),0,Inputs!$S$99)+ IF(Inputs!$W$93&gt;(life_dt+Inputs!$T$93),0,Inputs!$T$99)+ IF(Inputs!$W$93&gt;(life_dt+Inputs!$U$93),0,Inputs!$U$99)+ IF(Inputs!$W$93&gt;(life_dt+Inputs!$V$93),0,Inputs!$V$99)+ IF(Inputs!$W$93&gt;(life_dt+Inputs!$W$93),0,Inputs!$W$99)</f>
        <v>0</v>
      </c>
      <c r="Y24" s="42">
        <f>IF(Inputs!$X$93&gt;=(life_dt+Inputs!$D$93),0,Inputs!$D$99)+ IF(Inputs!$X$93&gt;(life_dt+Inputs!$E$93),0,Inputs!$E$99)+ IF(Inputs!$X$93&gt;(life_dt+Inputs!$F$93),0,Inputs!$F$99)+ IF(Inputs!$X$93&gt;(life_dt+Inputs!$G$93),0,Inputs!$G$99)+ IF(Inputs!$X$93&gt;(life_dt+Inputs!$H$93),0,Inputs!$H$99)+ IF(Inputs!$X$93&gt;(life_dt+Inputs!$I$93),0,Inputs!$I$99)+ IF(Inputs!$X$93&gt;(life_dt+Inputs!$J$93),0,Inputs!$J$99)+ IF(Inputs!$X$93&gt;(life_dt+Inputs!$K$93),0,Inputs!$K$99)+ IF(Inputs!$X$93&gt;(life_dt+Inputs!$L$93),0,Inputs!$L$99)+ IF(Inputs!$X$93&gt;(life_dt+Inputs!$M$93),0,Inputs!$M$99)+ IF(Inputs!$X$93&gt;(life_dt+Inputs!$N$93),0,Inputs!$N$99)+ IF(Inputs!$X$93&gt;(life_dt+Inputs!$O$93),0,Inputs!$O$99)+ IF(Inputs!$X$93&gt;(life_dt+Inputs!$P$93),0,Inputs!$P$99)+ IF(Inputs!$X$93&gt;(life_dt+Inputs!$Q$93),0,Inputs!$Q$99)+ IF(Inputs!$X$93&gt;(life_dt+Inputs!$R$93),0,Inputs!$R$99)+ IF(Inputs!$X$93&gt;(life_dt+Inputs!$S$93),0,Inputs!$S$99)+ IF(Inputs!$X$93&gt;(life_dt+Inputs!$T$93),0,Inputs!$T$99)+ IF(Inputs!$X$93&gt;(life_dt+Inputs!$U$93),0,Inputs!$U$99)+ IF(Inputs!$X$93&gt;(life_dt+Inputs!$V$93),0,Inputs!$V$99)+ IF(Inputs!$X$93&gt;(life_dt+Inputs!$W$93),0,Inputs!$W$99)+ IF(Inputs!$X$93&gt;(life_dt+Inputs!$W$93),0,Inputs!$W$99)</f>
        <v>0</v>
      </c>
    </row>
    <row r="25" spans="1:26" x14ac:dyDescent="0.2">
      <c r="B25" s="439" t="s">
        <v>131</v>
      </c>
      <c r="C25" s="440"/>
      <c r="D25" s="441"/>
      <c r="E25" s="43">
        <f>IF(Inputs!$D$93&gt;(life_pu+Inputs!$D$93),0,Inputs!$D$100)</f>
        <v>0</v>
      </c>
      <c r="F25" s="44">
        <f>IF(Inputs!$E$93&gt;(life_pu+Inputs!$D$93),0,Inputs!$D$100)+IF(Inputs!$E$93&gt;(life_pu+Inputs!$E$93),0,Inputs!$E$100)</f>
        <v>0</v>
      </c>
      <c r="G25" s="44">
        <f>IF(Inputs!$F$93&gt;(life_pu+Inputs!$D$93),0,Inputs!$D$100)+IF(Inputs!$F$93&gt;(life_pu+Inputs!$E$93),0,Inputs!$E$100)+IF(Inputs!$F$93&gt;(life_pu+Inputs!$F$93),0,Inputs!$F$100)</f>
        <v>0</v>
      </c>
      <c r="H25" s="44">
        <f>IF(Inputs!$G$93&gt;(life_pu+Inputs!$D$93),0,Inputs!$D$100)+IF(Inputs!$G$93&gt;(life_pu+Inputs!$E$93),0,Inputs!$E$100)+IF(Inputs!$G$93&gt;(life_pu+Inputs!$F$93),0,Inputs!$F$100)+IF(Inputs!$G$93&gt;(life_pu+Inputs!$G$93),0,Inputs!$G$100)</f>
        <v>0</v>
      </c>
      <c r="I25" s="44">
        <f>IF(Inputs!$H$93&gt;(life_pu+Inputs!$D$93),0,Inputs!$D$100)+IF(Inputs!$H$93&gt;(life_pu+Inputs!$E$93),0,Inputs!$E$100)+IF(Inputs!$H$93&gt;(life_pu+Inputs!$F$93),0,Inputs!$F$100)+IF(Inputs!$H$93&gt;(life_pu+Inputs!$G$93),0,Inputs!$G$100)+IF(Inputs!$H$93&gt;(life_pu+Inputs!$H$93),0,Inputs!$H$100)</f>
        <v>0</v>
      </c>
      <c r="J25" s="44">
        <f>IF(Inputs!$I$93&gt;(life_pu+Inputs!$D$93),0,Inputs!$D$100)+IF(Inputs!I$93&gt;(life_pu+Inputs!$E$93),0,Inputs!$E$100)+IF(Inputs!$I$93&gt;(life_pu+Inputs!$F$93),0,Inputs!$F$100)+IF(Inputs!$I$93&gt;(life_pu+Inputs!$G$93),0,Inputs!$G$100)+IF(Inputs!$I$93&gt;(life_pu+Inputs!$H$93),0,Inputs!$H$100)+IF(Inputs!$I$93&gt;(life_pu+Inputs!$I$93),0,Inputs!$I$100)</f>
        <v>0</v>
      </c>
      <c r="K25" s="44">
        <f>IF(Inputs!$J$93&gt;(life_pu+Inputs!$D$93),0,Inputs!$D$100)+IF(Inputs!$J$93&gt;(life_pu+Inputs!$E$93),0,Inputs!$E$100)+IF(Inputs!$J$93&gt;(life_pu+Inputs!$F$93),0,Inputs!$F$100)+IF(Inputs!$J$93&gt;(life_pu+Inputs!$G$93),0,Inputs!$G$100)+IF(Inputs!$J$93&gt;(life_pu+Inputs!$H$93),0,Inputs!$H$100)+IF(Inputs!$J$93&gt;(life_pu+Inputs!$I$93),0,Inputs!$I$100)+IF(Inputs!$J$93&gt;(life_pu+Inputs!$J$93),0,Inputs!$J$100)</f>
        <v>0</v>
      </c>
      <c r="L25" s="44">
        <f>IF(Inputs!$K$93&gt;(life_pu+Inputs!$D$93),0,Inputs!$D$100)+IF(Inputs!$K$93&gt;(life_pu+Inputs!$E$93),0,Inputs!$E$100)+ IF(Inputs!$K$93&gt;(life_pu+Inputs!$F$93),0,Inputs!$F$100)+ IF(Inputs!$K$93&gt;(life_pu+Inputs!$G$93),0,Inputs!$G$100)+ IF(Inputs!$K$93&gt;(life_pu+Inputs!$H$93),0,Inputs!$H$100)+ IF(Inputs!$K$93&gt;(life_pu+Inputs!$I$93),0,Inputs!$I$100)+ IF(Inputs!$K$93&gt;(life_pu+Inputs!$J$93),0,Inputs!$J$100)+ IF(Inputs!$K$93&gt;(life_pu+Inputs!$K$93),0,Inputs!$K$100)</f>
        <v>0</v>
      </c>
      <c r="M25" s="44">
        <f>IF(Inputs!$L$93&gt;(life_pu+Inputs!$D$93),0,Inputs!$D$100)+ IF(Inputs!$L$93&gt;(life_pu+Inputs!$E$93),0,Inputs!$E$100)+ IF(Inputs!$L$93&gt;(life_pu+Inputs!$F$93),0,Inputs!$F$100)+ IF(Inputs!$L$93&gt;(life_pu+Inputs!$G$93),0,Inputs!$G$100)+ IF(Inputs!$L$93&gt;(life_pu+Inputs!$H$93),0,Inputs!$H$100)+ IF(Inputs!$L$93&gt;(life_pu+Inputs!$I$93),0,Inputs!$I$100)+ IF(Inputs!$L$93&gt;(life_pu+Inputs!$J$93),0,Inputs!$J$100)+ IF(Inputs!$L$93&gt;(life_pu+Inputs!$K$93),0,Inputs!$K$100)+ IF(Inputs!$L$93&gt;(life_pu+Inputs!$L$93),0,Inputs!$L$100)</f>
        <v>0</v>
      </c>
      <c r="N25" s="44">
        <f>IF(Inputs!$M$93&gt;(life_pu+Inputs!$D$93),0,Inputs!$D$100)+ IF(Inputs!$M$93&gt;(life_pu+Inputs!$E$93),0,Inputs!$E$100)+ IF(Inputs!$M$93&gt;(life_pu+Inputs!$F$93),0,Inputs!$F$100)+ IF(Inputs!$M$93&gt;(life_pu+Inputs!$G$93),0,Inputs!$G$100)+ IF(Inputs!$M$93&gt;(life_pu+Inputs!$H$93),0,Inputs!$H$100)+ IF(Inputs!$M$93&gt;(life_pu+Inputs!$I$93),0,Inputs!$I$100)+ IF(Inputs!$M$93&gt;(life_pu+Inputs!$J$93),0,Inputs!$J$100)+ IF(Inputs!$M$93&gt;(life_pu+Inputs!$K$93),0,Inputs!$K$100)+ IF(Inputs!$M$93&gt;(life_pu+Inputs!$L$93),0,Inputs!$L$100)+ IF(Inputs!$M$93&gt;(life_pu+Inputs!$M$93),0,Inputs!$M$100)</f>
        <v>0</v>
      </c>
      <c r="O25" s="44">
        <f>IF(Inputs!$N$93&gt;(life_pu+Inputs!$D$93),0,Inputs!$D$100)+ IF(Inputs!$N$93&gt;(life_pu+Inputs!$E$93),0,Inputs!$E$100)+ IF(Inputs!$N$93&gt;(life_pu+Inputs!$F$93),0,Inputs!$F$100)+ IF(Inputs!$N$93&gt;(life_pu+Inputs!$G$93),0,Inputs!$G$100)+ IF(Inputs!$N$93&gt;(life_pu+Inputs!$H$93),0,Inputs!$H$100)+ IF(Inputs!$N$93&gt;(life_pu+Inputs!$I$93),0,Inputs!$I$100)+ IF(Inputs!$N$93&gt;(life_pu+Inputs!$J$93),0,Inputs!$J$100)+ IF(Inputs!$N$93&gt;(life_pu+Inputs!$K$93),0,Inputs!$K$100)+ IF(Inputs!$N$93&gt;(life_pu+Inputs!$L$93),0,Inputs!$L$100)+ IF(Inputs!$N$93&gt;(life_pu+Inputs!$M$93),0,Inputs!$M$100)+ IF(Inputs!$N$93&gt;(life_pu+Inputs!$N$93),0,Inputs!$N$100)</f>
        <v>0</v>
      </c>
      <c r="P25" s="44">
        <f>IF(Inputs!$O$93&gt;(life_pu+Inputs!$D$93),0,Inputs!$D$100)+ IF(Inputs!$O$93&gt;(life_pu+Inputs!$E$93),0,Inputs!$E$100)+ IF(Inputs!$O$93&gt;(life_pu+Inputs!$F$93),0,Inputs!$F$100)+ IF(Inputs!$O$93&gt;(life_pu+Inputs!$G$93),0,Inputs!$G$100)+ IF(Inputs!$O$93&gt;(life_pu+Inputs!$H$93),0,Inputs!$H$100)+ IF(Inputs!$O$93&gt;(life_pu+Inputs!$I$93),0,Inputs!$I$100)+ IF(Inputs!$O$93&gt;(life_pu+Inputs!$J$93),0,Inputs!$J$100)+ IF(Inputs!$O$93&gt;(life_pu+Inputs!$K$93),0,Inputs!$K$100)+ IF(Inputs!$O$93&gt;(life_pu+Inputs!$L$93),0,Inputs!$L$100)+ IF(Inputs!$O$93&gt;(life_pu+Inputs!$M$93),0,Inputs!$M$100)+ IF(Inputs!$O$93&gt;(life_pu+Inputs!$N$93),0,Inputs!$N$100)+ IF(Inputs!$O$93&gt;(life_pu+Inputs!$O$93),0,Inputs!$O$100)</f>
        <v>0</v>
      </c>
      <c r="Q25" s="44">
        <f>IF(Inputs!$P$93&gt;(life_pu+Inputs!$D$93),0,Inputs!$D$100)+ IF(Inputs!$P$93&gt;(life_pu+Inputs!$E$93),0,Inputs!$E$100)+ IF(Inputs!$P$93&gt;(life_pu+Inputs!$F$93),0,Inputs!$F$100)+ IF(Inputs!$P$93&gt;(life_pu+Inputs!$G$93),0,Inputs!$G$100)+ IF(Inputs!$P$93&gt;(life_pu+Inputs!$H$93),0,Inputs!$H$100)+ IF(Inputs!$P$93&gt;(life_pu+Inputs!$I$93),0,Inputs!$I$100)+ IF(Inputs!$P$93&gt;(life_pu+Inputs!$J$93),0,Inputs!$J$100)+ IF(Inputs!$P$93&gt;(life_pu+Inputs!$K$93),0,Inputs!$K$100)+ IF(Inputs!$P$93&gt;(life_pu+Inputs!$L$93),0,Inputs!$L$100)+ IF(Inputs!$P$93&gt;(life_pu+Inputs!$M$93),0,Inputs!$M$100)+ IF(Inputs!$P$93&gt;(life_pu+Inputs!$N$93),0,Inputs!$N$100)+ IF(Inputs!$P$93&gt;(life_pu+Inputs!$O$93),0,Inputs!$O$100)+ IF(Inputs!$P$93&gt;(life_pu+Inputs!$P$93),0,Inputs!$P$100)</f>
        <v>0</v>
      </c>
      <c r="R25" s="44">
        <f>IF(Inputs!$Q$93&gt;(life_pu+Inputs!$D$93),0,Inputs!$D$100)+ IF(Inputs!$Q$93&gt;(life_pu+Inputs!$E$93),0,Inputs!$E$100)+ IF(Inputs!$Q$93&gt;(life_pu+Inputs!$F$93),0,Inputs!$F$100)+ IF(Inputs!$Q$93&gt;(life_pu+Inputs!$G$93),0,Inputs!$G$100)+ IF(Inputs!$Q$93&gt;(life_pu+Inputs!$H$93),0,Inputs!$H$100)+ IF(Inputs!$Q$93&gt;(life_pu+Inputs!$I$93),0,Inputs!$I$100)+ IF(Inputs!$Q$93&gt;(life_pu+Inputs!$J$93),0,Inputs!$J$100)+ IF(Inputs!$Q$93&gt;(life_pu+Inputs!$K$93),0,Inputs!$K$100)+ IF(Inputs!$Q$93&gt;(life_pu+Inputs!$L$93),0,Inputs!$L$100)+ IF(Inputs!$Q$93&gt;(life_pu+Inputs!$M$93),0,Inputs!$M$100)+ IF(Inputs!$Q$93&gt;(life_pu+Inputs!$N$93),0,Inputs!$N$100)+ IF(Inputs!$Q$93&gt;(life_pu+Inputs!$O$93),0,Inputs!$O$100)+ IF(Inputs!$Q$93&gt;(life_pu+Inputs!$P$93),0,Inputs!$P$100)+ IF(Inputs!$Q$93&gt;(life_pu+Inputs!$Q$93),0,Inputs!$Q$100)</f>
        <v>0</v>
      </c>
      <c r="S25" s="44">
        <f>IF(Inputs!$R$93&gt;(life_pu+Inputs!$D$93),0,Inputs!$D$100)+ IF(Inputs!$R$93&gt;(life_pu+Inputs!$E$93),0,Inputs!$E$100)+ IF(Inputs!$R$93&gt;(life_pu+Inputs!$F$93),0,Inputs!$F$100)+ IF(Inputs!$R$93&gt;(life_pu+Inputs!$G$93),0,Inputs!$G$100)+ IF(Inputs!$R$93&gt;(life_pu+Inputs!$H$93),0,Inputs!$H$100)+ IF(Inputs!$R$93&gt;(life_pu+Inputs!$I$93),0,Inputs!$I$100)+ IF(Inputs!$R$93&gt;(life_pu+Inputs!$J$93),0,Inputs!$J$100)+ IF(Inputs!$R$93&gt;(life_pu+Inputs!$K$93),0,Inputs!$K$100)+ IF(Inputs!$R$93&gt;(life_pu+Inputs!$L$93),0,Inputs!$L$100)+ IF(Inputs!$R$93&gt;(life_pu+Inputs!$M$93),0,Inputs!$M$100)+ IF(Inputs!$R$93&gt;(life_pu+Inputs!$N$93),0,Inputs!$N$100)+ IF(Inputs!$R$93&gt;(life_pu+Inputs!$O$93),0,Inputs!$O$100)+ IF(Inputs!$R$93&gt;(life_pu+Inputs!$P$93),0,Inputs!$P$100)+ IF(Inputs!$R$93&gt;(life_pu+Inputs!$Q$93),0,Inputs!$Q$100)+ IF(Inputs!$R$93&gt;(life_pu+Inputs!$R$93),0,Inputs!$R$100)</f>
        <v>0</v>
      </c>
      <c r="T25" s="44">
        <f>IF(Inputs!$S$93&gt;(life_pu+Inputs!$D$93),0,Inputs!$D$100)+ IF(Inputs!$S$93&gt;(life_pu+Inputs!$E$93),0,Inputs!$E$100)+ IF(Inputs!$S$93&gt;(life_pu+Inputs!$F$93),0,Inputs!$F$100)+ IF(Inputs!$S$93&gt;(life_pu+Inputs!$G$93),0,Inputs!$G$100)+ IF(Inputs!$S$93&gt;(life_pu+Inputs!$H$93),0,Inputs!$H$100)+ IF(Inputs!$S$93&gt;(life_pu+Inputs!$I$93),0,Inputs!$I$100)+ IF(Inputs!S$93&gt;(life_pu+Inputs!$J$93),0,Inputs!$J$100)+ IF(Inputs!$S$93&gt;(life_pu+Inputs!$K$93),0,Inputs!$K$100)+ IF(Inputs!$S$93&gt;(life_pu+Inputs!$L$93),0,Inputs!$L$100)+ IF(Inputs!$S$93&gt;(life_pu+Inputs!$M$93),0,Inputs!$M$100)+ IF(Inputs!$S$93&gt;(life_pu+Inputs!$N$93),0,Inputs!$N$100)+ IF(Inputs!$S$93&gt;(life_pu+Inputs!$O$93),0,Inputs!$O$100)+ IF(Inputs!$S$93&gt;(life_pu+Inputs!$P$93),0,Inputs!$P$100)+ IF(Inputs!$S$93&gt;(life_pu+Inputs!$Q$93),0,Inputs!$Q$100)+ IF(Inputs!$S$93&gt;(life_pu+Inputs!$R$93),0,Inputs!$R$100)+ IF(Inputs!$S$93&gt;(life_pu+Inputs!$S$93),0,Inputs!$S$100)</f>
        <v>0</v>
      </c>
      <c r="U25" s="44">
        <f>IF(Inputs!$T$93&gt;=(life_pu+Inputs!$D$93),0,Inputs!$D$100)+ IF(Inputs!$T$93&gt;(life_pu+Inputs!$E$93),0,Inputs!$E$100)+ IF(Inputs!$T$93&gt;(life_pu+Inputs!$F$93),0,Inputs!$F$100)+ IF(Inputs!$T$93&gt;(life_pu+Inputs!$G$93),0,Inputs!$G$100)+ IF(Inputs!$T$93&gt;(life_pu+Inputs!$H$93),0,Inputs!$H$100)+ IF(Inputs!$T$93&gt;(life_pu+Inputs!$I$93),0,Inputs!$I$100)+ IF(Inputs!$T$93&gt;(life_pu+Inputs!$J$93),0,Inputs!$J$100)+ IF(Inputs!$T$93&gt;(life_pu+Inputs!$K$93),0,Inputs!$K$100)+ IF(Inputs!$T$93&gt;(life_pu+Inputs!$L$93),0,Inputs!$L$100)+ IF(Inputs!$T$93&gt;(life_pu+Inputs!$M$93),0,Inputs!$M$100)+ IF(Inputs!$T$93&gt;(life_pu+Inputs!$N$93),0,Inputs!$N$100)+ IF(Inputs!$T$93&gt;(life_pu+Inputs!$O$93),0,Inputs!$O$100)+ IF(Inputs!$T$93&gt;(life_pu+Inputs!$P$93),0,Inputs!$P$100)+ IF(Inputs!$T$93&gt;(life_pu+Inputs!$Q$93),0,Inputs!$Q$100)+ IF(Inputs!$T$93&gt;(life_pu+Inputs!$R$93),0,Inputs!$R$100)+ IF(Inputs!$T$93&gt;(life_pu+Inputs!$S$93),0,Inputs!$S$100)+ IF(Inputs!$T$93&gt;(life_pu+Inputs!$T$93),0,Inputs!$T$100)</f>
        <v>0</v>
      </c>
      <c r="V25" s="44">
        <f>IF(Inputs!$U$93&gt;=(life_pu+Inputs!$D$93),0,Inputs!$D$100)+ IF(Inputs!$U$93&gt;(life_pu+Inputs!$E$93),0,Inputs!$E$100)+ IF(Inputs!$U$93&gt;(life_pu+Inputs!$F$93),0,Inputs!$F$100)+ IF(Inputs!$U$93&gt;(life_pu+Inputs!$G$93),0,Inputs!$G$100)+ IF(Inputs!$U$93&gt;(life_pu+Inputs!$H$93),0,Inputs!$H$100)+ IF(Inputs!$U$93&gt;(life_pu+Inputs!$I$93),0,Inputs!$I$100)+ IF(Inputs!$U$93&gt;(life_pu+Inputs!$J$93),0,Inputs!$J$100)+ IF(Inputs!$U$93&gt;(life_pu+Inputs!$K$93),0,Inputs!$K$100)+ IF(Inputs!$U$93&gt;(life_pu+Inputs!$L$93),0,Inputs!$L$100)+ IF(Inputs!$U$93&gt;(life_pu+Inputs!$M$93),0,Inputs!$M$100)+ IF(Inputs!$U$93&gt;(life_pu+Inputs!$N$93),0,Inputs!$N$100)+ IF(Inputs!$U$93&gt;(life_pu+Inputs!$O$93),0,Inputs!$O$100)+ IF(Inputs!$U$93&gt;(life_pu+Inputs!$P$93),0,Inputs!$P$100)+ IF(Inputs!$U$93&gt;(life_pu+Inputs!$Q$93),0,Inputs!$Q$100)+ IF(Inputs!$U$93&gt;(life_pu+Inputs!$R$93),0,Inputs!$R$100)+ IF(Inputs!$U$93&gt;(life_pu+Inputs!$S$93),0,Inputs!$S$100)+ IF(Inputs!$U$93&gt;(life_pu+Inputs!$T$93),0,Inputs!$T$100)+ IF(Inputs!$U$93&gt;(life_pu+Inputs!$U$93),0,Inputs!$U$100)</f>
        <v>0</v>
      </c>
      <c r="W25" s="44">
        <f>IF(Inputs!$V$93&gt;=(life_pu+Inputs!$D$93),0,Inputs!$D$100)+IF(Inputs!$V$93&gt;(life_pu+Inputs!$E$93),0,Inputs!$E$100)+ IF(Inputs!$V$93&gt;(life_pu+Inputs!$F$93),0,Inputs!$F$100)+ IF(Inputs!$V$93&gt;(life_pu+Inputs!$G$93),0,Inputs!$G$100)+ IF(Inputs!$V$93&gt;(life_pu+Inputs!$H$93),0,Inputs!$H$100)+ IF(Inputs!$V$93&gt;(life_pu+Inputs!$I$93),0,Inputs!$I$100)+ IF(Inputs!$V$93&gt;(life_pu+Inputs!$J$93),0,Inputs!$J$100)+ IF(Inputs!$V$93&gt;(life_pu+Inputs!$K$93),0,Inputs!$K$100)+ IF(Inputs!$V$93&gt;(life_pu+Inputs!$L$93),0,Inputs!$L$100)+ IF(Inputs!$V$93&gt;(life_pu+Inputs!$M$93),0,Inputs!$M$100)+ IF(Inputs!$V$93&gt;(life_pu+Inputs!$N$93),0,Inputs!$N$100)+ IF(Inputs!$V$93&gt;(life_pu+Inputs!$O$93),0,Inputs!$O$100)+ IF(Inputs!$V$93&gt;(life_pu+Inputs!$P$93),0,Inputs!$P$100)+ IF(Inputs!$V$93&gt;(life_pu+Inputs!$Q$93),0,Inputs!$Q$100)+ IF(Inputs!$V$93&gt;(life_pu+Inputs!$R$93),0,Inputs!$R$100)+ IF(Inputs!$V$93&gt;(life_pu+Inputs!$S$93),0,Inputs!$S$100)+ IF(Inputs!$V$93&gt;(life_pu+Inputs!$T$93),0,Inputs!$T$100)+ IF(Inputs!$V$93&gt;(life_pu+Inputs!$U$93),0,Inputs!$U$100)+ IF(Inputs!$V$93&gt;(life_pu+Inputs!$V$93),0,Inputs!$V$100)</f>
        <v>0</v>
      </c>
      <c r="X25" s="44">
        <f>IF(Inputs!$W$93&gt;=(life_pu+Inputs!$D$93),0,Inputs!$D$100)+ IF(Inputs!$W$93&gt;(life_pu+Inputs!$E$93),0,Inputs!$E$100)+ IF(Inputs!$W$93&gt;(life_pu+Inputs!$F$93),0,Inputs!$F$100)+ IF(Inputs!$W$93&gt;(life_pu+Inputs!$G$93),0,Inputs!$G$100)+ IF(Inputs!$W$93&gt;(life_pu+Inputs!$H$93),0,Inputs!$H$100)+ IF(Inputs!$W$93&gt;(life_pu+Inputs!$I$93),0,Inputs!$I$100)+ IF(Inputs!$W$93&gt;(life_pu+Inputs!$J$93),0,Inputs!$J$100)+ IF(Inputs!$W$93&gt;(life_pu+Inputs!$K$93),0,Inputs!$K$100)+ IF(Inputs!$W$93&gt;(life_pu+Inputs!$L$93),0,Inputs!$L$100)+ IF(Inputs!$W$93&gt;(life_pu+Inputs!$M$93),0,Inputs!$M$100)+ IF(Inputs!$W$93&gt;(life_pu+Inputs!$N$93),0,Inputs!$N$100)+ IF(Inputs!$W$93&gt;(life_pu+Inputs!$O$93),0,Inputs!$O$100)+ IF(Inputs!$W$93&gt;(life_pu+Inputs!$P$93),0,Inputs!$P$100)+ IF(Inputs!$W$93&gt;(life_pu+Inputs!$Q$93),0,Inputs!$Q$100)+ IF(Inputs!$W$93&gt;(life_pu+Inputs!$R$93),0,Inputs!$R$100)+ IF(Inputs!$W$93&gt;(life_pu+Inputs!$S$93),0,Inputs!$S$100)+ IF(Inputs!$W$93&gt;(life_pu+Inputs!$T$93),0,Inputs!$T$100)+ IF(Inputs!$W$93&gt;(life_pu+Inputs!$U$93),0,Inputs!$U$100)+ IF(Inputs!$W$93&gt;(life_pu+Inputs!$V$93),0,Inputs!$V$100)+ IF(Inputs!$W$93&gt;(life_pu+Inputs!$W$93),0,Inputs!$W$100)</f>
        <v>0</v>
      </c>
      <c r="Y25" s="44">
        <f>IF(Inputs!$X$93&gt;=(life_pu+Inputs!$D$93),0,Inputs!$D$100)+ IF(Inputs!$X$93&gt;(life_pu+Inputs!$E$93),0,Inputs!$E$100)+ IF(Inputs!$X$93&gt;(life_pu+Inputs!$F$93),0,Inputs!$F$100)+ IF(Inputs!$X$93&gt;(life_pu+Inputs!$G$93),0,Inputs!$G$100)+ IF(Inputs!$X$93&gt;(life_pu+Inputs!$H$93),0,Inputs!$H$100)+ IF(Inputs!$X$93&gt;(life_pu+Inputs!$I$93),0,Inputs!$I$100)+ IF(Inputs!$X$93&gt;(life_pu+Inputs!$J$93),0,Inputs!$J$100)+ IF(Inputs!$X$93&gt;(life_pu+Inputs!$K$93),0,Inputs!$K$100)+ IF(Inputs!$X$93&gt;(life_pu+Inputs!$L$93),0,Inputs!$L$100)+ IF(Inputs!$X$93&gt;(life_pu+Inputs!$M$93),0,Inputs!$M$100)+ IF(Inputs!$X$93&gt;(life_pu+Inputs!$N$93),0,Inputs!$N$100)+ IF(Inputs!$X$93&gt;(life_pu+Inputs!$O$93),0,Inputs!$O$100)+ IF(Inputs!$X$93&gt;(life_pu+Inputs!$P$93),0,Inputs!$P$100)+ IF(Inputs!$X$93&gt;(life_pu+Inputs!$Q$93),0,Inputs!$Q$100)+ IF(Inputs!$X$93&gt;(life_pu+Inputs!$R$93),0,Inputs!$R$100)+ IF(Inputs!$X$93&gt;(life_pu+Inputs!$S$93),0,Inputs!$S$100)+ IF(Inputs!$X$93&gt;(life_pu+Inputs!$T$93),0,Inputs!$T$100)+ IF(Inputs!$X$93&gt;(life_pu+Inputs!$U$93),0,Inputs!$U$100)+ IF(Inputs!$X$93&gt;(life_pu+Inputs!$V$93),0,Inputs!$V$100)+ IF(Inputs!$X$93&gt;(life_pu+Inputs!$W$93),0,Inputs!$W$100)+ IF(Inputs!$X$93&gt;(life_pu+Inputs!$W$93),0,Inputs!$W$100)</f>
        <v>0</v>
      </c>
    </row>
    <row r="26" spans="1:26" x14ac:dyDescent="0.2">
      <c r="A26" s="241"/>
      <c r="B26" s="433" t="s">
        <v>135</v>
      </c>
      <c r="C26" s="434"/>
      <c r="D26" s="435"/>
      <c r="E26" s="41">
        <f>IF(Inputs!$D$93&gt;(life_pc+Inputs!$D$93),0,Inputs!$D$101)</f>
        <v>0</v>
      </c>
      <c r="F26" s="42">
        <f>IF(Inputs!$E$93&gt;(life_pc+Inputs!$D$93),0,Inputs!$D$101)+IF(Inputs!$E$93&gt;(life_pc+Inputs!$E$93),0,Inputs!$E$101)</f>
        <v>0</v>
      </c>
      <c r="G26" s="42">
        <f>IF(Inputs!$F$93&gt;(life_pc+Inputs!$D$93),0,Inputs!$D$101)+IF(Inputs!$F$93&gt;(life_pc+Inputs!$E$93),0,Inputs!$E$101)+IF(Inputs!$F$93&gt;(life_pc+Inputs!$F$93),0,Inputs!$F$101)</f>
        <v>0</v>
      </c>
      <c r="H26" s="42">
        <f>IF(Inputs!$G$93&gt;(life_pc+Inputs!$D$93),0,Inputs!$D$101)+IF(Inputs!$G$93&gt;(life_pc+Inputs!$E$93),0,Inputs!$E$101)+IF(Inputs!$G$93&gt;(life_pc+Inputs!$F$93),0,Inputs!$F$101)+IF(Inputs!$G$93&gt;(life_pc+Inputs!$G$93),0,Inputs!$G$101)</f>
        <v>0</v>
      </c>
      <c r="I26" s="42">
        <f>IF(Inputs!$H$93&gt;(life_pc+Inputs!$D$93),0,Inputs!$D$101)+IF(Inputs!$H$93&gt;(life_pc+Inputs!$E$93),0,Inputs!$E$101)+IF(Inputs!$H$93&gt;(life_pc+Inputs!$F$93),0,Inputs!$F$101)+IF(Inputs!$H$93&gt;(life_pc+Inputs!$G$93),0,Inputs!$G$101)+IF(Inputs!$H$93&gt;(life_pc+Inputs!$H$93),0,Inputs!$H$101)</f>
        <v>0</v>
      </c>
      <c r="J26" s="42">
        <f>IF(Inputs!$I$93&gt;(life_pc+Inputs!$D$93),0,Inputs!$D$101)+IF(Inputs!I$93&gt;(life_pc+Inputs!$E$93),0,Inputs!$E$101)+IF(Inputs!$I$93&gt;(life_pc+Inputs!$F$93),0,Inputs!$F$101)+IF(Inputs!$I$93&gt;(life_pc+Inputs!$G$93),0,Inputs!$G$101)+IF(Inputs!$I$93&gt;(life_pc+Inputs!$H$93),0,Inputs!$H$101)+IF(Inputs!$I$93&gt;(life_pc+Inputs!$I$93),0,Inputs!$I$101)</f>
        <v>0</v>
      </c>
      <c r="K26" s="42">
        <f>IF(Inputs!$J$93&gt;(life_pc+Inputs!$D$93),0,Inputs!$D$101)+IF(Inputs!$J$93&gt;(life_pc+Inputs!$E$93),0,Inputs!$E$101)+IF(Inputs!$J$93&gt;(life_pc+Inputs!$F$93),0,Inputs!$F$101)+IF(Inputs!$J$93&gt;(life_pc+Inputs!$G$93),0,Inputs!$G$101)+IF(Inputs!$J$93&gt;(life_pc+Inputs!$H$93),0,Inputs!$H$101)+IF(Inputs!$J$93&gt;(life_pc+Inputs!$I$93),0,Inputs!$I$101)+IF(Inputs!$J$93&gt;(life_pc+Inputs!$J$93),0,Inputs!$J$101)</f>
        <v>0</v>
      </c>
      <c r="L26" s="42">
        <f>IF(Inputs!$K$93&gt;(life_pc+Inputs!$D$93),0,Inputs!$D$101)+IF(Inputs!$K$93&gt;(life_pc+Inputs!$E$93),0,Inputs!$E$101)+ IF(Inputs!$K$93&gt;(life_pc+Inputs!$F$93),0,Inputs!$F$101)+ IF(Inputs!$K$93&gt;(life_pc+Inputs!$G$93),0,Inputs!$G$101)+ IF(Inputs!$K$93&gt;(life_pc+Inputs!$H$93),0,Inputs!$H$101)+ IF(Inputs!$K$93&gt;(life_pc+Inputs!$I$93),0,Inputs!$I$101)+ IF(Inputs!$K$93&gt;(life_pc+Inputs!$J$93),0,Inputs!$J$101)+ IF(Inputs!$K$93&gt;(life_pc+Inputs!$K$93),0,Inputs!$K$101)</f>
        <v>0</v>
      </c>
      <c r="M26" s="42">
        <f>IF(Inputs!$L$93&gt;(life_pc+Inputs!$D$93),0,Inputs!$D$101)+ IF(Inputs!$L$93&gt;(life_pc+Inputs!$E$93),0,Inputs!$E$101)+ IF(Inputs!$L$93&gt;(life_pc+Inputs!$F$93),0,Inputs!$F$101)+ IF(Inputs!$L$93&gt;(life_pc+Inputs!$G$93),0,Inputs!$G$101)+ IF(Inputs!$L$93&gt;(life_pc+Inputs!$H$93),0,Inputs!$H$101)+ IF(Inputs!$L$93&gt;(life_pc+Inputs!$I$93),0,Inputs!$I$101)+ IF(Inputs!$L$93&gt;(life_pc+Inputs!$J$93),0,Inputs!$J$101)+ IF(Inputs!$L$93&gt;(life_pc+Inputs!$K$93),0,Inputs!$K$101)+ IF(Inputs!$L$93&gt;(life_pc+Inputs!$L$93),0,Inputs!$L$101)</f>
        <v>0</v>
      </c>
      <c r="N26" s="42">
        <f>IF(Inputs!$M$93&gt;(life_pc+Inputs!$D$93),0,Inputs!$D$101)+ IF(Inputs!$M$93&gt;(life_pc+Inputs!$E$93),0,Inputs!$E$101)+ IF(Inputs!$M$93&gt;(life_pc+Inputs!$F$93),0,Inputs!$F$101)+ IF(Inputs!$M$93&gt;(life_pc+Inputs!$G$93),0,Inputs!$G$101)+ IF(Inputs!$M$93&gt;(life_pc+Inputs!$H$93),0,Inputs!$H$101)+ IF(Inputs!$M$93&gt;(life_pc+Inputs!$I$93),0,Inputs!$I$101)+ IF(Inputs!$M$93&gt;(life_pc+Inputs!$J$93),0,Inputs!$J$101)+ IF(Inputs!$M$93&gt;(life_pc+Inputs!$K$93),0,Inputs!$K$101)+ IF(Inputs!$M$93&gt;(life_pc+Inputs!$L$93),0,Inputs!$L$101)+ IF(Inputs!$M$93&gt;(life_pc+Inputs!$M$93),0,Inputs!$M$101)</f>
        <v>0</v>
      </c>
      <c r="O26" s="42">
        <f>IF(Inputs!$N$93&gt;(life_pc+Inputs!$D$93),0,Inputs!$D$101)+ IF(Inputs!$N$93&gt;(life_pc+Inputs!$E$93),0,Inputs!$E$101)+ IF(Inputs!$N$93&gt;(life_pc+Inputs!$F$93),0,Inputs!$F$101)+ IF(Inputs!$N$93&gt;(life_pc+Inputs!$G$93),0,Inputs!$G$101)+ IF(Inputs!$N$93&gt;(life_pc+Inputs!$H$93),0,Inputs!$H$101)+ IF(Inputs!$N$93&gt;(life_pc+Inputs!$I$93),0,Inputs!$I$101)+ IF(Inputs!$N$93&gt;(life_pc+Inputs!$J$93),0,Inputs!$J$101)+ IF(Inputs!$N$93&gt;(life_pc+Inputs!$K$93),0,Inputs!$K$101)+ IF(Inputs!$N$93&gt;(life_pc+Inputs!$L$93),0,Inputs!$L$101)+ IF(Inputs!$N$93&gt;(life_pc+Inputs!$M$93),0,Inputs!$M$101)+ IF(Inputs!$N$93&gt;(life_pc+Inputs!$N$93),0,Inputs!$N$101)</f>
        <v>0</v>
      </c>
      <c r="P26" s="42">
        <f>IF(Inputs!$O$93&gt;(life_pc+Inputs!$D$93),0,Inputs!$D$101)+ IF(Inputs!$O$93&gt;(life_pc+Inputs!$E$93),0,Inputs!$E$101)+ IF(Inputs!$O$93&gt;(life_pc+Inputs!$F$93),0,Inputs!$F$101)+ IF(Inputs!$O$93&gt;(life_pc+Inputs!$G$93),0,Inputs!$G$101)+ IF(Inputs!$O$93&gt;(life_pc+Inputs!$H$93),0,Inputs!$H$101)+ IF(Inputs!$O$93&gt;(life_pc+Inputs!$I$93),0,Inputs!$I$101)+ IF(Inputs!$O$93&gt;(life_pc+Inputs!$J$93),0,Inputs!$J$101)+ IF(Inputs!$O$93&gt;(life_pc+Inputs!$K$93),0,Inputs!$K$101)+ IF(Inputs!$O$93&gt;(life_pc+Inputs!$L$93),0,Inputs!$L$101)+ IF(Inputs!$O$93&gt;(life_pc+Inputs!$M$93),0,Inputs!$M$101)+ IF(Inputs!$O$93&gt;(life_pc+Inputs!$N$93),0,Inputs!$N$101)+ IF(Inputs!$O$93&gt;(life_pc+Inputs!$O$93),0,Inputs!$O$101)</f>
        <v>0</v>
      </c>
      <c r="Q26" s="42">
        <f>IF(Inputs!$P$93&gt;(life_pc+Inputs!$D$93),0,Inputs!$D$101)+ IF(Inputs!$P$93&gt;(life_pc+Inputs!$E$93),0,Inputs!$E$101)+ IF(Inputs!$P$93&gt;(life_pc+Inputs!$F$93),0,Inputs!$F$101)+ IF(Inputs!$P$93&gt;(life_pc+Inputs!$G$93),0,Inputs!$G$101)+ IF(Inputs!$P$93&gt;(life_pc+Inputs!$H$93),0,Inputs!$H$101)+ IF(Inputs!$P$93&gt;(life_pc+Inputs!$I$93),0,Inputs!$I$101)+ IF(Inputs!$P$93&gt;(life_pc+Inputs!$J$93),0,Inputs!$J$101)+ IF(Inputs!$P$93&gt;(life_pc+Inputs!$K$93),0,Inputs!$K$101)+ IF(Inputs!$P$93&gt;(life_pc+Inputs!$L$93),0,Inputs!$L$101)+ IF(Inputs!$P$93&gt;(life_pc+Inputs!$M$93),0,Inputs!$M$101)+ IF(Inputs!$P$93&gt;(life_pc+Inputs!$N$93),0,Inputs!$N$101)+ IF(Inputs!$P$93&gt;(life_pc+Inputs!$O$93),0,Inputs!$O$101)+ IF(Inputs!$P$93&gt;(life_pc+Inputs!$P$93),0,Inputs!$P$101)</f>
        <v>0</v>
      </c>
      <c r="R26" s="42">
        <f>IF(Inputs!$Q$93&gt;(life_pc+Inputs!$D$93),0,Inputs!$D$101)+ IF(Inputs!$Q$93&gt;(life_pc+Inputs!$E$93),0,Inputs!$E$101)+ IF(Inputs!$Q$93&gt;(life_pc+Inputs!$F$93),0,Inputs!$F$101)+ IF(Inputs!$Q$93&gt;(life_pc+Inputs!$G$93),0,Inputs!$G$101)+ IF(Inputs!$Q$93&gt;(life_pc+Inputs!$H$93),0,Inputs!$H$101)+ IF(Inputs!$Q$93&gt;(life_pc+Inputs!$I$93),0,Inputs!$I$101)+ IF(Inputs!$Q$93&gt;(life_pc+Inputs!$J$93),0,Inputs!$J$101)+ IF(Inputs!$Q$93&gt;(life_pc+Inputs!$K$93),0,Inputs!$K$101)+ IF(Inputs!$Q$93&gt;(life_pc+Inputs!$L$93),0,Inputs!$L$101)+ IF(Inputs!$Q$93&gt;(life_pc+Inputs!$M$93),0,Inputs!$M$101)+ IF(Inputs!$Q$93&gt;(life_pc+Inputs!$N$93),0,Inputs!$N$101)+ IF(Inputs!$Q$93&gt;(life_pc+Inputs!$O$93),0,Inputs!$O$101)+ IF(Inputs!$Q$93&gt;(life_pc+Inputs!$P$93),0,Inputs!$P$101)+ IF(Inputs!$Q$93&gt;(life_pc+Inputs!$Q$93),0,Inputs!$Q$101)</f>
        <v>0</v>
      </c>
      <c r="S26" s="42">
        <f>IF(Inputs!$R$93&gt;(life_pc+Inputs!$D$93),0,Inputs!$D$101)+ IF(Inputs!$R$93&gt;(life_pc+Inputs!$E$93),0,Inputs!$E$101)+ IF(Inputs!$R$93&gt;(life_pc+Inputs!$F$93),0,Inputs!$F$101)+ IF(Inputs!$R$93&gt;(life_pc+Inputs!$G$93),0,Inputs!$G$101)+ IF(Inputs!$R$93&gt;(life_pc+Inputs!$H$93),0,Inputs!$H$101)+ IF(Inputs!$R$93&gt;(life_pc+Inputs!$I$93),0,Inputs!$I$101)+ IF(Inputs!$R$93&gt;(life_pc+Inputs!$J$93),0,Inputs!$J$101)+ IF(Inputs!$R$93&gt;(life_pc+Inputs!$K$93),0,Inputs!$K$101)+ IF(Inputs!$R$93&gt;(life_pc+Inputs!$L$93),0,Inputs!$L$101)+ IF(Inputs!$R$93&gt;(life_pc+Inputs!$M$93),0,Inputs!$M$101)+ IF(Inputs!$R$93&gt;(life_pc+Inputs!$N$93),0,Inputs!$N$101)+ IF(Inputs!$R$93&gt;(life_pc+Inputs!$O$93),0,Inputs!$O$101)+ IF(Inputs!$R$93&gt;(life_pc+Inputs!$P$93),0,Inputs!$P$101)+ IF(Inputs!$R$93&gt;(life_pc+Inputs!$Q$93),0,Inputs!$Q$101)+ IF(Inputs!$R$93&gt;(life_pc+Inputs!$R$93),0,Inputs!$R$101)</f>
        <v>0</v>
      </c>
      <c r="T26" s="42">
        <f>IF(Inputs!$S$93&gt;(life_pc+Inputs!$D$93),0,Inputs!$D$101)+ IF(Inputs!$S$93&gt;(life_pc+Inputs!$E$93),0,Inputs!$E$101)+ IF(Inputs!$S$93&gt;(life_pc+Inputs!$F$93),0,Inputs!$F$101)+ IF(Inputs!$S$93&gt;(life_pc+Inputs!$G$93),0,Inputs!$G$101)+ IF(Inputs!$S$93&gt;(life_pc+Inputs!$H$93),0,Inputs!$H$101)+ IF(Inputs!$S$93&gt;(life_pc+Inputs!$I$93),0,Inputs!$I$101)+ IF(Inputs!S$93&gt;(life_pc+Inputs!$J$93),0,Inputs!$J$101)+ IF(Inputs!$S$93&gt;(life_pc+Inputs!$K$93),0,Inputs!$K$101)+ IF(Inputs!$S$93&gt;(life_pc+Inputs!$L$93),0,Inputs!$L$101)+ IF(Inputs!$S$93&gt;(life_pc+Inputs!$M$93),0,Inputs!$M$101)+ IF(Inputs!$S$93&gt;(life_pc+Inputs!$N$93),0,Inputs!$N$101)+ IF(Inputs!$S$93&gt;(life_pc+Inputs!$O$93),0,Inputs!$O$101)+ IF(Inputs!$S$93&gt;(life_pc+Inputs!$P$93),0,Inputs!$P$101)+ IF(Inputs!$S$93&gt;(life_pc+Inputs!$Q$93),0,Inputs!$Q$101)+ IF(Inputs!$S$93&gt;(life_pc+Inputs!$R$93),0,Inputs!$R$101)+ IF(Inputs!$S$93&gt;(life_pc+Inputs!$S$93),0,Inputs!$S$101)</f>
        <v>0</v>
      </c>
      <c r="U26" s="42">
        <f>IF(Inputs!$T$93&gt;=(life_pc+Inputs!$D$93),0,Inputs!$D$101)+ IF(Inputs!$T$93&gt;(life_pc+Inputs!$E$93),0,Inputs!$E$101)+ IF(Inputs!$T$93&gt;(life_pc+Inputs!$F$93),0,Inputs!$F$101)+ IF(Inputs!$T$93&gt;(life_pc+Inputs!$G$93),0,Inputs!$G$101)+ IF(Inputs!$T$93&gt;(life_pc+Inputs!$H$93),0,Inputs!$H$101)+ IF(Inputs!$T$93&gt;(life_pc+Inputs!$I$93),0,Inputs!$I$101)+ IF(Inputs!$T$93&gt;(life_pc+Inputs!$J$93),0,Inputs!$J$101)+ IF(Inputs!$T$93&gt;(life_pc+Inputs!$K$93),0,Inputs!$K$101)+ IF(Inputs!$T$93&gt;(life_pc+Inputs!$L$93),0,Inputs!$L$101)+ IF(Inputs!$T$93&gt;(life_pc+Inputs!$M$93),0,Inputs!$M$101)+ IF(Inputs!$T$93&gt;(life_pc+Inputs!$N$93),0,Inputs!$N$101)+ IF(Inputs!$T$93&gt;(life_pc+Inputs!$O$93),0,Inputs!$O$101)+ IF(Inputs!$T$93&gt;(life_pc+Inputs!$P$93),0,Inputs!$P$101)+ IF(Inputs!$T$93&gt;(life_pc+Inputs!$Q$93),0,Inputs!$Q$101)+ IF(Inputs!$T$93&gt;(life_pc+Inputs!$R$93),0,Inputs!$R$101)+ IF(Inputs!$T$93&gt;(life_pc+Inputs!$S$93),0,Inputs!$S$101)+ IF(Inputs!$T$93&gt;(life_pc+Inputs!$T$93),0,Inputs!$T$101)</f>
        <v>0</v>
      </c>
      <c r="V26" s="42">
        <f>IF(Inputs!$U$93&gt;=(life_pc+Inputs!$D$93),0,Inputs!$D$101)+ IF(Inputs!$U$93&gt;(life_pc+Inputs!$E$93),0,Inputs!$E$101)+ IF(Inputs!$U$93&gt;(life_pc+Inputs!$F$93),0,Inputs!$F$101)+ IF(Inputs!$U$93&gt;(life_pc+Inputs!$G$93),0,Inputs!$G$101)+ IF(Inputs!$U$93&gt;(life_pc+Inputs!$H$93),0,Inputs!$H$101)+ IF(Inputs!$U$93&gt;(life_pc+Inputs!$I$93),0,Inputs!$I$101)+ IF(Inputs!$U$93&gt;(life_pc+Inputs!$J$93),0,Inputs!$J$101)+ IF(Inputs!$U$93&gt;(life_pc+Inputs!$K$93),0,Inputs!$K$101)+ IF(Inputs!$U$93&gt;(life_pc+Inputs!$L$93),0,Inputs!$L$101)+ IF(Inputs!$U$93&gt;(life_pc+Inputs!$M$93),0,Inputs!$M$101)+ IF(Inputs!$U$93&gt;(life_pc+Inputs!$N$93),0,Inputs!$N$101)+ IF(Inputs!$U$93&gt;(life_pc+Inputs!$O$93),0,Inputs!$O$101)+ IF(Inputs!$U$93&gt;(life_pc+Inputs!$P$93),0,Inputs!$P$101)+ IF(Inputs!$U$93&gt;(life_pc+Inputs!$Q$93),0,Inputs!$Q$101)+ IF(Inputs!$U$93&gt;(life_pc+Inputs!$R$93),0,Inputs!$R$101)+ IF(Inputs!$U$93&gt;(life_pc+Inputs!$S$93),0,Inputs!$S$101)+ IF(Inputs!$U$93&gt;(life_pc+Inputs!$T$93),0,Inputs!$T$101)+ IF(Inputs!$U$93&gt;(life_pc+Inputs!$U$93),0,Inputs!$U$101)</f>
        <v>0</v>
      </c>
      <c r="W26" s="42">
        <f>IF(Inputs!$V$93&gt;=(life_pc+Inputs!$D$93),0,Inputs!$D$101)+IF(Inputs!$V$93&gt;(life_pc+Inputs!$E$93),0,Inputs!$E$101)+ IF(Inputs!$V$93&gt;(life_pc+Inputs!$F$93),0,Inputs!$F$101)+ IF(Inputs!$V$93&gt;(life_pc+Inputs!$G$93),0,Inputs!$G$101)+ IF(Inputs!$V$93&gt;(life_pc+Inputs!$H$93),0,Inputs!$H$101)+ IF(Inputs!$V$93&gt;(life_pc+Inputs!$I$93),0,Inputs!$I$101)+ IF(Inputs!$V$93&gt;(life_pc+Inputs!$J$93),0,Inputs!$J$101)+ IF(Inputs!$V$93&gt;(life_pc+Inputs!$K$93),0,Inputs!$K$101)+ IF(Inputs!$V$93&gt;(life_pc+Inputs!$L$93),0,Inputs!$L$101)+ IF(Inputs!$V$93&gt;(life_pc+Inputs!$M$93),0,Inputs!$M$101)+ IF(Inputs!$V$93&gt;(life_pc+Inputs!$N$93),0,Inputs!$N$101)+ IF(Inputs!$V$93&gt;(life_pc+Inputs!$O$93),0,Inputs!$O$101)+ IF(Inputs!$V$93&gt;(life_pc+Inputs!$P$93),0,Inputs!$P$101)+ IF(Inputs!$V$93&gt;(life_pc+Inputs!$Q$93),0,Inputs!$Q$101)+ IF(Inputs!$V$93&gt;(life_pc+Inputs!$R$93),0,Inputs!$R$101)+ IF(Inputs!$V$93&gt;(life_pc+Inputs!$S$93),0,Inputs!$S$101)+ IF(Inputs!$V$93&gt;(life_pc+Inputs!$T$93),0,Inputs!$T$101)+ IF(Inputs!$V$93&gt;(life_pc+Inputs!$U$93),0,Inputs!$U$101)+ IF(Inputs!$V$93&gt;(life_pc+Inputs!$V$93),0,Inputs!$V$101)</f>
        <v>0</v>
      </c>
      <c r="X26" s="42">
        <f>IF(Inputs!$W$93&gt;=(life_pc+Inputs!$D$93),0,Inputs!$D$101)+ IF(Inputs!$W$93&gt;(life_pc+Inputs!$E$93),0,Inputs!$E$101)+ IF(Inputs!$W$93&gt;(life_pc+Inputs!$F$93),0,Inputs!$F$101)+ IF(Inputs!$W$93&gt;(life_pc+Inputs!$G$93),0,Inputs!$G$101)+ IF(Inputs!$W$93&gt;(life_pc+Inputs!$H$93),0,Inputs!$H$101)+ IF(Inputs!$W$93&gt;(life_pc+Inputs!$I$93),0,Inputs!$I$101)+ IF(Inputs!$W$93&gt;(life_pc+Inputs!$J$93),0,Inputs!$J$101)+ IF(Inputs!$W$93&gt;(life_pc+Inputs!$K$93),0,Inputs!$K$101)+ IF(Inputs!$W$93&gt;(life_pc+Inputs!$L$93),0,Inputs!$L$101)+ IF(Inputs!$W$93&gt;(life_pc+Inputs!$M$93),0,Inputs!$M$101)+ IF(Inputs!$W$93&gt;(life_pc+Inputs!$N$93),0,Inputs!$N$101)+ IF(Inputs!$W$93&gt;(life_pc+Inputs!$O$93),0,Inputs!$O$101)+ IF(Inputs!$W$93&gt;(life_pc+Inputs!$P$93),0,Inputs!$P$101)+ IF(Inputs!$W$93&gt;(life_pc+Inputs!$Q$93),0,Inputs!$Q$101)+ IF(Inputs!$W$93&gt;(life_pc+Inputs!$R$93),0,Inputs!$R$101)+ IF(Inputs!$W$93&gt;(life_pc+Inputs!$S$93),0,Inputs!$S$101)+ IF(Inputs!$W$93&gt;(life_pc+Inputs!$T$93),0,Inputs!$T$101)+ IF(Inputs!$W$93&gt;(life_pc+Inputs!$U$93),0,Inputs!$U$101)+ IF(Inputs!$W$93&gt;(life_pc+Inputs!$V$93),0,Inputs!$V$101)+ IF(Inputs!$W$93&gt;(life_pc+Inputs!$W$93),0,Inputs!$W$101)</f>
        <v>0</v>
      </c>
      <c r="Y26" s="42">
        <f>IF(Inputs!$X$93&gt;=(life_pc+Inputs!$D$93),0,Inputs!$D$101)+ IF(Inputs!$X$93&gt;(life_pc+Inputs!$E$93),0,Inputs!$E$101)+ IF(Inputs!$X$93&gt;(life_pc+Inputs!$F$93),0,Inputs!$F$101)+ IF(Inputs!$X$93&gt;(life_pc+Inputs!$G$93),0,Inputs!$G$101)+ IF(Inputs!$X$93&gt;(life_pc+Inputs!$H$93),0,Inputs!$H$101)+ IF(Inputs!$X$93&gt;(life_pc+Inputs!$I$93),0,Inputs!$I$101)+ IF(Inputs!$X$93&gt;(life_pc+Inputs!$J$93),0,Inputs!$J$101)+ IF(Inputs!$X$93&gt;(life_pc+Inputs!$K$93),0,Inputs!$K$101)+ IF(Inputs!$X$93&gt;(life_pc+Inputs!$L$93),0,Inputs!$L$101)+ IF(Inputs!$X$93&gt;(life_pc+Inputs!$M$93),0,Inputs!$M$101)+ IF(Inputs!$X$93&gt;(life_pc+Inputs!$N$93),0,Inputs!$N$101)+ IF(Inputs!$X$93&gt;(life_pc+Inputs!$O$93),0,Inputs!$O$101)+ IF(Inputs!$X$93&gt;(life_pc+Inputs!$P$93),0,Inputs!$P$101)+ IF(Inputs!$X$93&gt;(life_pc+Inputs!$Q$93),0,Inputs!$Q$101)+ IF(Inputs!$X$93&gt;(life_pc+Inputs!$R$93),0,Inputs!$R$101)+ IF(Inputs!$X$93&gt;(life_pc+Inputs!$S$93),0,Inputs!$S$101)+ IF(Inputs!$X$93&gt;(life_pc+Inputs!$T$93),0,Inputs!$T$101)+ IF(Inputs!$X$93&gt;(life_pc+Inputs!$U$93),0,Inputs!$U$101)+ IF(Inputs!$X$93&gt;(life_pc+Inputs!$V$93),0,Inputs!$V$101)+ IF(Inputs!$X$93&gt;(life_pc+Inputs!$W$93),0,Inputs!$W$101)+ IF(Inputs!$X$93&gt;(life_pc+Inputs!$W$93),0,Inputs!$W$101)</f>
        <v>0</v>
      </c>
    </row>
    <row r="27" spans="1:26" x14ac:dyDescent="0.2">
      <c r="B27" s="244"/>
      <c r="C27" s="244"/>
      <c r="D27" s="244"/>
      <c r="E27" s="239"/>
      <c r="F27" s="239"/>
      <c r="G27" s="239"/>
      <c r="H27" s="239"/>
      <c r="I27" s="239"/>
      <c r="J27" s="239"/>
      <c r="K27" s="239"/>
      <c r="L27" s="239"/>
      <c r="M27" s="239"/>
      <c r="N27" s="239"/>
      <c r="O27" s="239"/>
      <c r="P27" s="239"/>
      <c r="Q27" s="239"/>
      <c r="R27" s="239"/>
      <c r="S27" s="239"/>
      <c r="T27" s="239"/>
      <c r="U27" s="239"/>
      <c r="V27" s="239"/>
      <c r="W27" s="239"/>
      <c r="X27" s="239"/>
      <c r="Y27" s="239"/>
    </row>
    <row r="28" spans="1:26" ht="19" x14ac:dyDescent="0.2">
      <c r="A28" s="240"/>
      <c r="B28" s="248" t="s">
        <v>159</v>
      </c>
      <c r="C28" s="246"/>
      <c r="D28" s="247"/>
      <c r="E28" s="245"/>
      <c r="F28" s="245"/>
      <c r="G28" s="245"/>
      <c r="H28" s="245"/>
      <c r="I28" s="245"/>
      <c r="J28" s="245"/>
      <c r="K28" s="245"/>
      <c r="L28" s="245"/>
      <c r="M28" s="245"/>
      <c r="N28" s="245"/>
      <c r="O28" s="245"/>
      <c r="P28" s="245"/>
      <c r="Q28" s="245"/>
      <c r="R28" s="245"/>
      <c r="S28" s="245"/>
      <c r="T28" s="245"/>
      <c r="U28" s="245"/>
      <c r="V28" s="245"/>
      <c r="W28" s="245"/>
      <c r="X28" s="245"/>
      <c r="Y28" s="245"/>
    </row>
    <row r="29" spans="1:26" x14ac:dyDescent="0.2">
      <c r="B29" s="442" t="s">
        <v>80</v>
      </c>
      <c r="C29" s="443"/>
      <c r="D29" s="444"/>
      <c r="E29" s="242"/>
    </row>
    <row r="30" spans="1:26" x14ac:dyDescent="0.2">
      <c r="B30" s="433" t="s">
        <v>81</v>
      </c>
      <c r="C30" s="434"/>
      <c r="D30" s="435"/>
      <c r="E30" s="34">
        <f>IF('Vehicle &amp; Station Calculations'!E20&gt;0,1,0)</f>
        <v>0</v>
      </c>
      <c r="F30" s="31">
        <f>IF('Vehicle &amp; Station Calculations'!F20&gt;0,1,0)</f>
        <v>0</v>
      </c>
      <c r="G30" s="31">
        <f>IF('Vehicle &amp; Station Calculations'!G20&gt;0,1,0)</f>
        <v>0</v>
      </c>
      <c r="H30" s="31">
        <f>IF('Vehicle &amp; Station Calculations'!H20&gt;0,1,0)</f>
        <v>0</v>
      </c>
      <c r="I30" s="31">
        <f>IF('Vehicle &amp; Station Calculations'!I20&gt;0,1,0)</f>
        <v>0</v>
      </c>
      <c r="J30" s="31">
        <f>IF('Vehicle &amp; Station Calculations'!J20&gt;0,1,0)</f>
        <v>0</v>
      </c>
      <c r="K30" s="31">
        <f>IF('Vehicle &amp; Station Calculations'!K20&gt;0,1,0)</f>
        <v>0</v>
      </c>
      <c r="L30" s="31">
        <f>IF('Vehicle &amp; Station Calculations'!L20&gt;0,1,0)</f>
        <v>0</v>
      </c>
      <c r="M30" s="31">
        <f>IF('Vehicle &amp; Station Calculations'!M20&gt;0,1,0)</f>
        <v>0</v>
      </c>
      <c r="N30" s="31">
        <f>IF('Vehicle &amp; Station Calculations'!N20&gt;0,1,0)</f>
        <v>0</v>
      </c>
      <c r="O30" s="31">
        <f>IF('Vehicle &amp; Station Calculations'!O20&gt;0,1,0)</f>
        <v>0</v>
      </c>
      <c r="P30" s="31">
        <f>IF('Vehicle &amp; Station Calculations'!P20&gt;0,1,0)</f>
        <v>0</v>
      </c>
      <c r="Q30" s="31">
        <f>IF('Vehicle &amp; Station Calculations'!Q20&gt;0,1,0)</f>
        <v>0</v>
      </c>
      <c r="R30" s="31">
        <f>IF('Vehicle &amp; Station Calculations'!R20&gt;0,1,0)</f>
        <v>0</v>
      </c>
      <c r="S30" s="31">
        <f>IF('Vehicle &amp; Station Calculations'!S20&gt;0,1,0)</f>
        <v>0</v>
      </c>
      <c r="T30" s="31">
        <f>IF('Vehicle &amp; Station Calculations'!T20&gt;0,1,0)</f>
        <v>0</v>
      </c>
      <c r="U30" s="31">
        <f>IF('Vehicle &amp; Station Calculations'!U20&gt;0,1,0)</f>
        <v>0</v>
      </c>
      <c r="V30" s="31">
        <f>IF('Vehicle &amp; Station Calculations'!V20&gt;0,1,0)</f>
        <v>0</v>
      </c>
      <c r="W30" s="31">
        <f>IF('Vehicle &amp; Station Calculations'!W20&gt;0,1,0)</f>
        <v>0</v>
      </c>
      <c r="X30" s="31">
        <f>IF('Vehicle &amp; Station Calculations'!X20&gt;0,1,0)</f>
        <v>0</v>
      </c>
      <c r="Y30" s="51">
        <f>IF('Vehicle &amp; Station Calculations'!Y20&gt;0,1,0)</f>
        <v>0</v>
      </c>
      <c r="Z30" s="31">
        <f t="shared" ref="Z30:Z36" si="10">IF(Y30=1,1,0)</f>
        <v>0</v>
      </c>
    </row>
    <row r="31" spans="1:26" x14ac:dyDescent="0.2">
      <c r="B31" s="439" t="s">
        <v>82</v>
      </c>
      <c r="C31" s="440"/>
      <c r="D31" s="441"/>
      <c r="E31" s="35">
        <f>IF('Vehicle &amp; Station Calculations'!E21&gt;0,1,0)</f>
        <v>0</v>
      </c>
      <c r="F31" s="8">
        <f>IF('Vehicle &amp; Station Calculations'!F21&gt;0,1,0)</f>
        <v>0</v>
      </c>
      <c r="G31" s="8">
        <f>IF('Vehicle &amp; Station Calculations'!G21&gt;0,1,0)</f>
        <v>0</v>
      </c>
      <c r="H31" s="8">
        <f>IF('Vehicle &amp; Station Calculations'!H21&gt;0,1,0)</f>
        <v>0</v>
      </c>
      <c r="I31" s="8">
        <f>IF('Vehicle &amp; Station Calculations'!I21&gt;0,1,0)</f>
        <v>0</v>
      </c>
      <c r="J31" s="8">
        <f>IF('Vehicle &amp; Station Calculations'!J21&gt;0,1,0)</f>
        <v>0</v>
      </c>
      <c r="K31" s="8">
        <f>IF('Vehicle &amp; Station Calculations'!K21&gt;0,1,0)</f>
        <v>0</v>
      </c>
      <c r="L31" s="8">
        <f>IF('Vehicle &amp; Station Calculations'!L21&gt;0,1,0)</f>
        <v>0</v>
      </c>
      <c r="M31" s="8">
        <f>IF('Vehicle &amp; Station Calculations'!M21&gt;0,1,0)</f>
        <v>0</v>
      </c>
      <c r="N31" s="8">
        <f>IF('Vehicle &amp; Station Calculations'!N21&gt;0,1,0)</f>
        <v>0</v>
      </c>
      <c r="O31" s="8">
        <f>IF('Vehicle &amp; Station Calculations'!O21&gt;0,1,0)</f>
        <v>0</v>
      </c>
      <c r="P31" s="8">
        <f>IF('Vehicle &amp; Station Calculations'!P21&gt;0,1,0)</f>
        <v>0</v>
      </c>
      <c r="Q31" s="8">
        <f>IF('Vehicle &amp; Station Calculations'!Q21&gt;0,1,0)</f>
        <v>0</v>
      </c>
      <c r="R31" s="8">
        <f>IF('Vehicle &amp; Station Calculations'!R21&gt;0,1,0)</f>
        <v>0</v>
      </c>
      <c r="S31" s="8">
        <f>IF('Vehicle &amp; Station Calculations'!S21&gt;0,1,0)</f>
        <v>0</v>
      </c>
      <c r="T31" s="8">
        <f>IF('Vehicle &amp; Station Calculations'!T21&gt;0,1,0)</f>
        <v>0</v>
      </c>
      <c r="U31" s="8">
        <f>IF('Vehicle &amp; Station Calculations'!U21&gt;0,1,0)</f>
        <v>0</v>
      </c>
      <c r="V31" s="8">
        <f>IF('Vehicle &amp; Station Calculations'!V21&gt;0,1,0)</f>
        <v>0</v>
      </c>
      <c r="W31" s="8">
        <f>IF('Vehicle &amp; Station Calculations'!W21&gt;0,1,0)</f>
        <v>0</v>
      </c>
      <c r="X31" s="8">
        <f>IF('Vehicle &amp; Station Calculations'!X21&gt;0,1,0)</f>
        <v>0</v>
      </c>
      <c r="Y31" s="23">
        <f>IF('Vehicle &amp; Station Calculations'!Y21&gt;0,1,0)</f>
        <v>0</v>
      </c>
      <c r="Z31" s="8">
        <f t="shared" si="10"/>
        <v>0</v>
      </c>
    </row>
    <row r="32" spans="1:26" x14ac:dyDescent="0.2">
      <c r="B32" s="433" t="s">
        <v>83</v>
      </c>
      <c r="C32" s="434"/>
      <c r="D32" s="435"/>
      <c r="E32" s="34">
        <f>IF('Vehicle &amp; Station Calculations'!E22&gt;0,1,0)</f>
        <v>0</v>
      </c>
      <c r="F32" s="31">
        <f>IF('Vehicle &amp; Station Calculations'!F22&gt;0,1,0)</f>
        <v>0</v>
      </c>
      <c r="G32" s="31">
        <f>IF('Vehicle &amp; Station Calculations'!G22&gt;0,1,0)</f>
        <v>0</v>
      </c>
      <c r="H32" s="31">
        <f>IF('Vehicle &amp; Station Calculations'!H22&gt;0,1,0)</f>
        <v>0</v>
      </c>
      <c r="I32" s="31">
        <f>IF('Vehicle &amp; Station Calculations'!I22&gt;0,1,0)</f>
        <v>0</v>
      </c>
      <c r="J32" s="31">
        <f>IF('Vehicle &amp; Station Calculations'!J22&gt;0,1,0)</f>
        <v>0</v>
      </c>
      <c r="K32" s="31">
        <f>IF('Vehicle &amp; Station Calculations'!K22&gt;0,1,0)</f>
        <v>0</v>
      </c>
      <c r="L32" s="31">
        <f>IF('Vehicle &amp; Station Calculations'!L22&gt;0,1,0)</f>
        <v>0</v>
      </c>
      <c r="M32" s="31">
        <f>IF('Vehicle &amp; Station Calculations'!M22&gt;0,1,0)</f>
        <v>0</v>
      </c>
      <c r="N32" s="31">
        <f>IF('Vehicle &amp; Station Calculations'!N22&gt;0,1,0)</f>
        <v>0</v>
      </c>
      <c r="O32" s="31">
        <f>IF('Vehicle &amp; Station Calculations'!O22&gt;0,1,0)</f>
        <v>0</v>
      </c>
      <c r="P32" s="31">
        <f>IF('Vehicle &amp; Station Calculations'!P22&gt;0,1,0)</f>
        <v>0</v>
      </c>
      <c r="Q32" s="31">
        <f>IF('Vehicle &amp; Station Calculations'!Q22&gt;0,1,0)</f>
        <v>0</v>
      </c>
      <c r="R32" s="31">
        <f>IF('Vehicle &amp; Station Calculations'!R22&gt;0,1,0)</f>
        <v>0</v>
      </c>
      <c r="S32" s="31">
        <f>IF('Vehicle &amp; Station Calculations'!S22&gt;0,1,0)</f>
        <v>0</v>
      </c>
      <c r="T32" s="31">
        <f>IF('Vehicle &amp; Station Calculations'!T22&gt;0,1,0)</f>
        <v>0</v>
      </c>
      <c r="U32" s="31">
        <f>IF('Vehicle &amp; Station Calculations'!U22&gt;0,1,0)</f>
        <v>0</v>
      </c>
      <c r="V32" s="31">
        <f>IF('Vehicle &amp; Station Calculations'!V22&gt;0,1,0)</f>
        <v>0</v>
      </c>
      <c r="W32" s="31">
        <f>IF('Vehicle &amp; Station Calculations'!W22&gt;0,1,0)</f>
        <v>0</v>
      </c>
      <c r="X32" s="31">
        <f>IF('Vehicle &amp; Station Calculations'!X22&gt;0,1,0)</f>
        <v>0</v>
      </c>
      <c r="Y32" s="51">
        <f>IF('Vehicle &amp; Station Calculations'!Y22&gt;0,1,0)</f>
        <v>0</v>
      </c>
      <c r="Z32" s="31">
        <f t="shared" si="10"/>
        <v>0</v>
      </c>
    </row>
    <row r="33" spans="2:26" x14ac:dyDescent="0.2">
      <c r="B33" s="439" t="s">
        <v>84</v>
      </c>
      <c r="C33" s="440"/>
      <c r="D33" s="441"/>
      <c r="E33" s="35">
        <f>IF('Vehicle &amp; Station Calculations'!E23&gt;0,1,0)</f>
        <v>0</v>
      </c>
      <c r="F33" s="8">
        <f>IF('Vehicle &amp; Station Calculations'!F23&gt;0,1,0)</f>
        <v>0</v>
      </c>
      <c r="G33" s="8">
        <f>IF('Vehicle &amp; Station Calculations'!G23&gt;0,1,0)</f>
        <v>0</v>
      </c>
      <c r="H33" s="8">
        <f>IF('Vehicle &amp; Station Calculations'!H23&gt;0,1,0)</f>
        <v>0</v>
      </c>
      <c r="I33" s="8">
        <f>IF('Vehicle &amp; Station Calculations'!I23&gt;0,1,0)</f>
        <v>0</v>
      </c>
      <c r="J33" s="8">
        <f>IF('Vehicle &amp; Station Calculations'!J23&gt;0,1,0)</f>
        <v>0</v>
      </c>
      <c r="K33" s="8">
        <f>IF('Vehicle &amp; Station Calculations'!K23&gt;0,1,0)</f>
        <v>0</v>
      </c>
      <c r="L33" s="8">
        <f>IF('Vehicle &amp; Station Calculations'!L23&gt;0,1,0)</f>
        <v>0</v>
      </c>
      <c r="M33" s="8">
        <f>IF('Vehicle &amp; Station Calculations'!M23&gt;0,1,0)</f>
        <v>0</v>
      </c>
      <c r="N33" s="8">
        <f>IF('Vehicle &amp; Station Calculations'!N23&gt;0,1,0)</f>
        <v>0</v>
      </c>
      <c r="O33" s="8">
        <f>IF('Vehicle &amp; Station Calculations'!O23&gt;0,1,0)</f>
        <v>0</v>
      </c>
      <c r="P33" s="8">
        <f>IF('Vehicle &amp; Station Calculations'!P23&gt;0,1,0)</f>
        <v>0</v>
      </c>
      <c r="Q33" s="8">
        <f>IF('Vehicle &amp; Station Calculations'!Q23&gt;0,1,0)</f>
        <v>0</v>
      </c>
      <c r="R33" s="8">
        <f>IF('Vehicle &amp; Station Calculations'!R23&gt;0,1,0)</f>
        <v>0</v>
      </c>
      <c r="S33" s="8">
        <f>IF('Vehicle &amp; Station Calculations'!S23&gt;0,1,0)</f>
        <v>0</v>
      </c>
      <c r="T33" s="8">
        <f>IF('Vehicle &amp; Station Calculations'!T23&gt;0,1,0)</f>
        <v>0</v>
      </c>
      <c r="U33" s="8">
        <f>IF('Vehicle &amp; Station Calculations'!U23&gt;0,1,0)</f>
        <v>0</v>
      </c>
      <c r="V33" s="8">
        <f>IF('Vehicle &amp; Station Calculations'!V23&gt;0,1,0)</f>
        <v>0</v>
      </c>
      <c r="W33" s="8">
        <f>IF('Vehicle &amp; Station Calculations'!W23&gt;0,1,0)</f>
        <v>0</v>
      </c>
      <c r="X33" s="8">
        <f>IF('Vehicle &amp; Station Calculations'!X23&gt;0,1,0)</f>
        <v>0</v>
      </c>
      <c r="Y33" s="23">
        <f>IF('Vehicle &amp; Station Calculations'!Y23&gt;0,1,0)</f>
        <v>0</v>
      </c>
      <c r="Z33" s="8">
        <f t="shared" si="10"/>
        <v>0</v>
      </c>
    </row>
    <row r="34" spans="2:26" x14ac:dyDescent="0.2">
      <c r="B34" s="433" t="s">
        <v>85</v>
      </c>
      <c r="C34" s="434"/>
      <c r="D34" s="435"/>
      <c r="E34" s="34">
        <f>IF('Vehicle &amp; Station Calculations'!E24&gt;0,1,0)</f>
        <v>0</v>
      </c>
      <c r="F34" s="31">
        <f>IF('Vehicle &amp; Station Calculations'!F24&gt;0,1,0)</f>
        <v>0</v>
      </c>
      <c r="G34" s="31">
        <f>IF('Vehicle &amp; Station Calculations'!G24&gt;0,1,0)</f>
        <v>0</v>
      </c>
      <c r="H34" s="31">
        <f>IF('Vehicle &amp; Station Calculations'!H24&gt;0,1,0)</f>
        <v>0</v>
      </c>
      <c r="I34" s="31">
        <f>IF('Vehicle &amp; Station Calculations'!I24&gt;0,1,0)</f>
        <v>0</v>
      </c>
      <c r="J34" s="31">
        <f>IF('Vehicle &amp; Station Calculations'!J24&gt;0,1,0)</f>
        <v>0</v>
      </c>
      <c r="K34" s="31">
        <f>IF('Vehicle &amp; Station Calculations'!K24&gt;0,1,0)</f>
        <v>0</v>
      </c>
      <c r="L34" s="31">
        <f>IF('Vehicle &amp; Station Calculations'!L24&gt;0,1,0)</f>
        <v>0</v>
      </c>
      <c r="M34" s="31">
        <f>IF('Vehicle &amp; Station Calculations'!M24&gt;0,1,0)</f>
        <v>0</v>
      </c>
      <c r="N34" s="31">
        <f>IF('Vehicle &amp; Station Calculations'!N24&gt;0,1,0)</f>
        <v>0</v>
      </c>
      <c r="O34" s="31">
        <f>IF('Vehicle &amp; Station Calculations'!O24&gt;0,1,0)</f>
        <v>0</v>
      </c>
      <c r="P34" s="31">
        <f>IF('Vehicle &amp; Station Calculations'!P24&gt;0,1,0)</f>
        <v>0</v>
      </c>
      <c r="Q34" s="31">
        <f>IF('Vehicle &amp; Station Calculations'!Q24&gt;0,1,0)</f>
        <v>0</v>
      </c>
      <c r="R34" s="31">
        <f>IF('Vehicle &amp; Station Calculations'!R24&gt;0,1,0)</f>
        <v>0</v>
      </c>
      <c r="S34" s="31">
        <f>IF('Vehicle &amp; Station Calculations'!S24&gt;0,1,0)</f>
        <v>0</v>
      </c>
      <c r="T34" s="31">
        <f>IF('Vehicle &amp; Station Calculations'!T24&gt;0,1,0)</f>
        <v>0</v>
      </c>
      <c r="U34" s="31">
        <f>IF('Vehicle &amp; Station Calculations'!U24&gt;0,1,0)</f>
        <v>0</v>
      </c>
      <c r="V34" s="31">
        <f>IF('Vehicle &amp; Station Calculations'!V24&gt;0,1,0)</f>
        <v>0</v>
      </c>
      <c r="W34" s="31">
        <f>IF('Vehicle &amp; Station Calculations'!W24&gt;0,1,0)</f>
        <v>0</v>
      </c>
      <c r="X34" s="31">
        <f>IF('Vehicle &amp; Station Calculations'!X24&gt;0,1,0)</f>
        <v>0</v>
      </c>
      <c r="Y34" s="51">
        <f>IF('Vehicle &amp; Station Calculations'!Y24&gt;0,1,0)</f>
        <v>0</v>
      </c>
      <c r="Z34" s="31">
        <f t="shared" si="10"/>
        <v>0</v>
      </c>
    </row>
    <row r="35" spans="2:26" x14ac:dyDescent="0.2">
      <c r="B35" s="439" t="s">
        <v>86</v>
      </c>
      <c r="C35" s="440"/>
      <c r="D35" s="441"/>
      <c r="E35" s="35">
        <f>IF('Vehicle &amp; Station Calculations'!E25&gt;0,1,0)</f>
        <v>0</v>
      </c>
      <c r="F35" s="8">
        <f>IF('Vehicle &amp; Station Calculations'!F25&gt;0,1,0)</f>
        <v>0</v>
      </c>
      <c r="G35" s="8">
        <f>IF('Vehicle &amp; Station Calculations'!G25&gt;0,1,0)</f>
        <v>0</v>
      </c>
      <c r="H35" s="8">
        <f>IF('Vehicle &amp; Station Calculations'!H25&gt;0,1,0)</f>
        <v>0</v>
      </c>
      <c r="I35" s="8">
        <f>IF('Vehicle &amp; Station Calculations'!I25&gt;0,1,0)</f>
        <v>0</v>
      </c>
      <c r="J35" s="8">
        <f>IF('Vehicle &amp; Station Calculations'!J25&gt;0,1,0)</f>
        <v>0</v>
      </c>
      <c r="K35" s="8">
        <f>IF('Vehicle &amp; Station Calculations'!K25&gt;0,1,0)</f>
        <v>0</v>
      </c>
      <c r="L35" s="8">
        <f>IF('Vehicle &amp; Station Calculations'!L25&gt;0,1,0)</f>
        <v>0</v>
      </c>
      <c r="M35" s="8">
        <f>IF('Vehicle &amp; Station Calculations'!M25&gt;0,1,0)</f>
        <v>0</v>
      </c>
      <c r="N35" s="8">
        <f>IF('Vehicle &amp; Station Calculations'!N25&gt;0,1,0)</f>
        <v>0</v>
      </c>
      <c r="O35" s="8">
        <f>IF('Vehicle &amp; Station Calculations'!O25&gt;0,1,0)</f>
        <v>0</v>
      </c>
      <c r="P35" s="8">
        <f>IF('Vehicle &amp; Station Calculations'!P25&gt;0,1,0)</f>
        <v>0</v>
      </c>
      <c r="Q35" s="8">
        <f>IF('Vehicle &amp; Station Calculations'!Q25&gt;0,1,0)</f>
        <v>0</v>
      </c>
      <c r="R35" s="8">
        <f>IF('Vehicle &amp; Station Calculations'!R25&gt;0,1,0)</f>
        <v>0</v>
      </c>
      <c r="S35" s="8">
        <f>IF('Vehicle &amp; Station Calculations'!S25&gt;0,1,0)</f>
        <v>0</v>
      </c>
      <c r="T35" s="8">
        <f>IF('Vehicle &amp; Station Calculations'!T25&gt;0,1,0)</f>
        <v>0</v>
      </c>
      <c r="U35" s="8">
        <f>IF('Vehicle &amp; Station Calculations'!U25&gt;0,1,0)</f>
        <v>0</v>
      </c>
      <c r="V35" s="8">
        <f>IF('Vehicle &amp; Station Calculations'!V25&gt;0,1,0)</f>
        <v>0</v>
      </c>
      <c r="W35" s="8">
        <f>IF('Vehicle &amp; Station Calculations'!W25&gt;0,1,0)</f>
        <v>0</v>
      </c>
      <c r="X35" s="8">
        <f>IF('Vehicle &amp; Station Calculations'!X25&gt;0,1,0)</f>
        <v>0</v>
      </c>
      <c r="Y35" s="23">
        <f>IF('Vehicle &amp; Station Calculations'!Y25&gt;0,1,0)</f>
        <v>0</v>
      </c>
      <c r="Z35" s="8">
        <f t="shared" si="10"/>
        <v>0</v>
      </c>
    </row>
    <row r="36" spans="2:26" x14ac:dyDescent="0.2">
      <c r="B36" s="433" t="s">
        <v>136</v>
      </c>
      <c r="C36" s="434"/>
      <c r="D36" s="435"/>
      <c r="E36" s="34">
        <f>IF('Vehicle &amp; Station Calculations'!E26&gt;0,1,0)</f>
        <v>0</v>
      </c>
      <c r="F36" s="31">
        <f>IF('Vehicle &amp; Station Calculations'!F26&gt;0,1,0)</f>
        <v>0</v>
      </c>
      <c r="G36" s="31">
        <f>IF('Vehicle &amp; Station Calculations'!G26&gt;0,1,0)</f>
        <v>0</v>
      </c>
      <c r="H36" s="31">
        <f>IF('Vehicle &amp; Station Calculations'!H26&gt;0,1,0)</f>
        <v>0</v>
      </c>
      <c r="I36" s="31">
        <f>IF('Vehicle &amp; Station Calculations'!I26&gt;0,1,0)</f>
        <v>0</v>
      </c>
      <c r="J36" s="31">
        <f>IF('Vehicle &amp; Station Calculations'!J26&gt;0,1,0)</f>
        <v>0</v>
      </c>
      <c r="K36" s="31">
        <f>IF('Vehicle &amp; Station Calculations'!K26&gt;0,1,0)</f>
        <v>0</v>
      </c>
      <c r="L36" s="31">
        <f>IF('Vehicle &amp; Station Calculations'!L26&gt;0,1,0)</f>
        <v>0</v>
      </c>
      <c r="M36" s="31">
        <f>IF('Vehicle &amp; Station Calculations'!M26&gt;0,1,0)</f>
        <v>0</v>
      </c>
      <c r="N36" s="31">
        <f>IF('Vehicle &amp; Station Calculations'!N26&gt;0,1,0)</f>
        <v>0</v>
      </c>
      <c r="O36" s="31">
        <f>IF('Vehicle &amp; Station Calculations'!O26&gt;0,1,0)</f>
        <v>0</v>
      </c>
      <c r="P36" s="31">
        <f>IF('Vehicle &amp; Station Calculations'!P26&gt;0,1,0)</f>
        <v>0</v>
      </c>
      <c r="Q36" s="31">
        <f>IF('Vehicle &amp; Station Calculations'!Q26&gt;0,1,0)</f>
        <v>0</v>
      </c>
      <c r="R36" s="31">
        <f>IF('Vehicle &amp; Station Calculations'!R26&gt;0,1,0)</f>
        <v>0</v>
      </c>
      <c r="S36" s="31">
        <f>IF('Vehicle &amp; Station Calculations'!S26&gt;0,1,0)</f>
        <v>0</v>
      </c>
      <c r="T36" s="31">
        <f>IF('Vehicle &amp; Station Calculations'!T26&gt;0,1,0)</f>
        <v>0</v>
      </c>
      <c r="U36" s="31">
        <f>IF('Vehicle &amp; Station Calculations'!U26&gt;0,1,0)</f>
        <v>0</v>
      </c>
      <c r="V36" s="31">
        <f>IF('Vehicle &amp; Station Calculations'!V26&gt;0,1,0)</f>
        <v>0</v>
      </c>
      <c r="W36" s="31">
        <f>IF('Vehicle &amp; Station Calculations'!W26&gt;0,1,0)</f>
        <v>0</v>
      </c>
      <c r="X36" s="31">
        <f>IF('Vehicle &amp; Station Calculations'!X26&gt;0,1,0)</f>
        <v>0</v>
      </c>
      <c r="Y36" s="51">
        <f>IF('Vehicle &amp; Station Calculations'!Y26&gt;0,1,0)</f>
        <v>0</v>
      </c>
      <c r="Z36" s="31">
        <f t="shared" si="10"/>
        <v>0</v>
      </c>
    </row>
    <row r="37" spans="2:26" x14ac:dyDescent="0.2">
      <c r="B37" s="442" t="s">
        <v>87</v>
      </c>
      <c r="C37" s="443"/>
      <c r="D37" s="444"/>
    </row>
    <row r="38" spans="2:26" x14ac:dyDescent="0.2">
      <c r="B38" s="436" t="s">
        <v>73</v>
      </c>
      <c r="C38" s="437"/>
      <c r="D38" s="438"/>
      <c r="E38" s="34">
        <f>IF(E30&gt;0,IF(AND(F30&gt;0,G30&gt;0,E$19&gt;0),12,IF(OR(E$19=0,E30&gt;1,F30&lt;1),6,0)),0)</f>
        <v>0</v>
      </c>
      <c r="F38" s="34">
        <f t="shared" ref="F38:X38" si="11">IF(F30&gt;0,IF(AND(G30&gt;0,E30&gt;0),12,IF(OR(F$19&gt;0,F30&gt;1,G30&lt;1),6,0)),0)</f>
        <v>0</v>
      </c>
      <c r="G38" s="34">
        <f t="shared" si="11"/>
        <v>0</v>
      </c>
      <c r="H38" s="34">
        <f t="shared" si="11"/>
        <v>0</v>
      </c>
      <c r="I38" s="34">
        <f t="shared" si="11"/>
        <v>0</v>
      </c>
      <c r="J38" s="34">
        <f t="shared" si="11"/>
        <v>0</v>
      </c>
      <c r="K38" s="34">
        <f t="shared" si="11"/>
        <v>0</v>
      </c>
      <c r="L38" s="34">
        <f t="shared" si="11"/>
        <v>0</v>
      </c>
      <c r="M38" s="34">
        <f t="shared" si="11"/>
        <v>0</v>
      </c>
      <c r="N38" s="34">
        <f t="shared" si="11"/>
        <v>0</v>
      </c>
      <c r="O38" s="34">
        <f t="shared" si="11"/>
        <v>0</v>
      </c>
      <c r="P38" s="34">
        <f t="shared" si="11"/>
        <v>0</v>
      </c>
      <c r="Q38" s="34">
        <f t="shared" si="11"/>
        <v>0</v>
      </c>
      <c r="R38" s="34">
        <f t="shared" si="11"/>
        <v>0</v>
      </c>
      <c r="S38" s="34">
        <f t="shared" si="11"/>
        <v>0</v>
      </c>
      <c r="T38" s="34">
        <f t="shared" si="11"/>
        <v>0</v>
      </c>
      <c r="U38" s="34">
        <f t="shared" si="11"/>
        <v>0</v>
      </c>
      <c r="V38" s="34">
        <f t="shared" si="11"/>
        <v>0</v>
      </c>
      <c r="W38" s="34">
        <f t="shared" si="11"/>
        <v>0</v>
      </c>
      <c r="X38" s="34">
        <f t="shared" si="11"/>
        <v>0</v>
      </c>
      <c r="Y38" s="34">
        <f t="shared" ref="Y38:Y44" si="12">IF(Y30&gt;0,IF(AND(Z30&gt;0,X30&gt;0),12,IF(OR(Y$19&gt;0,Y30&gt;1,Z30&lt;1),6,0)),0)</f>
        <v>0</v>
      </c>
    </row>
    <row r="39" spans="2:26" x14ac:dyDescent="0.2">
      <c r="B39" s="430" t="s">
        <v>74</v>
      </c>
      <c r="C39" s="431"/>
      <c r="D39" s="432"/>
      <c r="E39" s="35">
        <f t="shared" ref="E39:E44" si="13">IF(E31&gt;0,IF(AND(F31&gt;0,E$19&gt;0),12,IF(OR(E$19=0,E31&gt;1,F31&lt;1),6,0)),0)</f>
        <v>0</v>
      </c>
      <c r="F39" s="35">
        <f t="shared" ref="F39:X39" si="14">IF(F31&gt;0,IF(AND(G31&gt;0,E31&gt;0),12,IF(OR(F$19&gt;0,F31&gt;1,G31&lt;1),6,0)),0)</f>
        <v>0</v>
      </c>
      <c r="G39" s="35">
        <f t="shared" si="14"/>
        <v>0</v>
      </c>
      <c r="H39" s="35">
        <f t="shared" si="14"/>
        <v>0</v>
      </c>
      <c r="I39" s="35">
        <f t="shared" si="14"/>
        <v>0</v>
      </c>
      <c r="J39" s="35">
        <f t="shared" si="14"/>
        <v>0</v>
      </c>
      <c r="K39" s="35">
        <f t="shared" si="14"/>
        <v>0</v>
      </c>
      <c r="L39" s="35">
        <f t="shared" si="14"/>
        <v>0</v>
      </c>
      <c r="M39" s="35">
        <f t="shared" si="14"/>
        <v>0</v>
      </c>
      <c r="N39" s="35">
        <f t="shared" si="14"/>
        <v>0</v>
      </c>
      <c r="O39" s="35">
        <f t="shared" si="14"/>
        <v>0</v>
      </c>
      <c r="P39" s="35">
        <f t="shared" si="14"/>
        <v>0</v>
      </c>
      <c r="Q39" s="35">
        <f t="shared" si="14"/>
        <v>0</v>
      </c>
      <c r="R39" s="35">
        <f t="shared" si="14"/>
        <v>0</v>
      </c>
      <c r="S39" s="35">
        <f t="shared" si="14"/>
        <v>0</v>
      </c>
      <c r="T39" s="35">
        <f t="shared" si="14"/>
        <v>0</v>
      </c>
      <c r="U39" s="35">
        <f t="shared" si="14"/>
        <v>0</v>
      </c>
      <c r="V39" s="35">
        <f t="shared" si="14"/>
        <v>0</v>
      </c>
      <c r="W39" s="35">
        <f t="shared" si="14"/>
        <v>0</v>
      </c>
      <c r="X39" s="35">
        <f t="shared" si="14"/>
        <v>0</v>
      </c>
      <c r="Y39" s="35">
        <f t="shared" si="12"/>
        <v>0</v>
      </c>
    </row>
    <row r="40" spans="2:26" x14ac:dyDescent="0.2">
      <c r="B40" s="436" t="s">
        <v>75</v>
      </c>
      <c r="C40" s="437"/>
      <c r="D40" s="438"/>
      <c r="E40" s="34">
        <f t="shared" si="13"/>
        <v>0</v>
      </c>
      <c r="F40" s="34">
        <f t="shared" ref="F40:X40" si="15">IF(F32&gt;0,IF(AND(G32&gt;0,E32&gt;0),12,IF(OR(F$19&gt;0,F32&gt;1,G32&lt;1),6,0)),0)</f>
        <v>0</v>
      </c>
      <c r="G40" s="34">
        <f t="shared" si="15"/>
        <v>0</v>
      </c>
      <c r="H40" s="34">
        <f t="shared" si="15"/>
        <v>0</v>
      </c>
      <c r="I40" s="34">
        <f t="shared" si="15"/>
        <v>0</v>
      </c>
      <c r="J40" s="34">
        <f t="shared" si="15"/>
        <v>0</v>
      </c>
      <c r="K40" s="34">
        <f t="shared" si="15"/>
        <v>0</v>
      </c>
      <c r="L40" s="34">
        <f t="shared" si="15"/>
        <v>0</v>
      </c>
      <c r="M40" s="34">
        <f t="shared" si="15"/>
        <v>0</v>
      </c>
      <c r="N40" s="34">
        <f t="shared" si="15"/>
        <v>0</v>
      </c>
      <c r="O40" s="34">
        <f t="shared" si="15"/>
        <v>0</v>
      </c>
      <c r="P40" s="34">
        <f t="shared" si="15"/>
        <v>0</v>
      </c>
      <c r="Q40" s="34">
        <f t="shared" si="15"/>
        <v>0</v>
      </c>
      <c r="R40" s="34">
        <f t="shared" si="15"/>
        <v>0</v>
      </c>
      <c r="S40" s="34">
        <f t="shared" si="15"/>
        <v>0</v>
      </c>
      <c r="T40" s="34">
        <f t="shared" si="15"/>
        <v>0</v>
      </c>
      <c r="U40" s="34">
        <f t="shared" si="15"/>
        <v>0</v>
      </c>
      <c r="V40" s="34">
        <f t="shared" si="15"/>
        <v>0</v>
      </c>
      <c r="W40" s="34">
        <f t="shared" si="15"/>
        <v>0</v>
      </c>
      <c r="X40" s="34">
        <f t="shared" si="15"/>
        <v>0</v>
      </c>
      <c r="Y40" s="34">
        <f t="shared" si="12"/>
        <v>0</v>
      </c>
    </row>
    <row r="41" spans="2:26" x14ac:dyDescent="0.2">
      <c r="B41" s="430" t="s">
        <v>76</v>
      </c>
      <c r="C41" s="431"/>
      <c r="D41" s="432"/>
      <c r="E41" s="35">
        <f t="shared" si="13"/>
        <v>0</v>
      </c>
      <c r="F41" s="35">
        <f t="shared" ref="F41:X41" si="16">IF(F33&gt;0,IF(AND(G33&gt;0,E33&gt;0),12,IF(OR(F$19&gt;0,F33&gt;1,G33&lt;1),6,0)),0)</f>
        <v>0</v>
      </c>
      <c r="G41" s="35">
        <f t="shared" si="16"/>
        <v>0</v>
      </c>
      <c r="H41" s="35">
        <f t="shared" si="16"/>
        <v>0</v>
      </c>
      <c r="I41" s="35">
        <f t="shared" si="16"/>
        <v>0</v>
      </c>
      <c r="J41" s="35">
        <f t="shared" si="16"/>
        <v>0</v>
      </c>
      <c r="K41" s="35">
        <f t="shared" si="16"/>
        <v>0</v>
      </c>
      <c r="L41" s="35">
        <f t="shared" si="16"/>
        <v>0</v>
      </c>
      <c r="M41" s="35">
        <f t="shared" si="16"/>
        <v>0</v>
      </c>
      <c r="N41" s="35">
        <f t="shared" si="16"/>
        <v>0</v>
      </c>
      <c r="O41" s="35">
        <f t="shared" si="16"/>
        <v>0</v>
      </c>
      <c r="P41" s="35">
        <f t="shared" si="16"/>
        <v>0</v>
      </c>
      <c r="Q41" s="35">
        <f t="shared" si="16"/>
        <v>0</v>
      </c>
      <c r="R41" s="35">
        <f t="shared" si="16"/>
        <v>0</v>
      </c>
      <c r="S41" s="35">
        <f t="shared" si="16"/>
        <v>0</v>
      </c>
      <c r="T41" s="35">
        <f t="shared" si="16"/>
        <v>0</v>
      </c>
      <c r="U41" s="35">
        <f t="shared" si="16"/>
        <v>0</v>
      </c>
      <c r="V41" s="35">
        <f t="shared" si="16"/>
        <v>0</v>
      </c>
      <c r="W41" s="35">
        <f t="shared" si="16"/>
        <v>0</v>
      </c>
      <c r="X41" s="35">
        <f t="shared" si="16"/>
        <v>0</v>
      </c>
      <c r="Y41" s="35">
        <f t="shared" si="12"/>
        <v>0</v>
      </c>
    </row>
    <row r="42" spans="2:26" x14ac:dyDescent="0.2">
      <c r="B42" s="436" t="s">
        <v>77</v>
      </c>
      <c r="C42" s="437"/>
      <c r="D42" s="438"/>
      <c r="E42" s="34">
        <f t="shared" si="13"/>
        <v>0</v>
      </c>
      <c r="F42" s="34">
        <f t="shared" ref="F42:X42" si="17">IF(F34&gt;0,IF(AND(G34&gt;0,E34&gt;0),12,IF(OR(F$19&gt;0,F34&gt;1,G34&lt;1),6,0)),0)</f>
        <v>0</v>
      </c>
      <c r="G42" s="34">
        <f t="shared" si="17"/>
        <v>0</v>
      </c>
      <c r="H42" s="34">
        <f t="shared" si="17"/>
        <v>0</v>
      </c>
      <c r="I42" s="34">
        <f t="shared" si="17"/>
        <v>0</v>
      </c>
      <c r="J42" s="34">
        <f t="shared" si="17"/>
        <v>0</v>
      </c>
      <c r="K42" s="34">
        <f t="shared" si="17"/>
        <v>0</v>
      </c>
      <c r="L42" s="34">
        <f t="shared" si="17"/>
        <v>0</v>
      </c>
      <c r="M42" s="34">
        <f t="shared" si="17"/>
        <v>0</v>
      </c>
      <c r="N42" s="34">
        <f t="shared" si="17"/>
        <v>0</v>
      </c>
      <c r="O42" s="34">
        <f t="shared" si="17"/>
        <v>0</v>
      </c>
      <c r="P42" s="34">
        <f t="shared" si="17"/>
        <v>0</v>
      </c>
      <c r="Q42" s="34">
        <f t="shared" si="17"/>
        <v>0</v>
      </c>
      <c r="R42" s="34">
        <f t="shared" si="17"/>
        <v>0</v>
      </c>
      <c r="S42" s="34">
        <f t="shared" si="17"/>
        <v>0</v>
      </c>
      <c r="T42" s="34">
        <f t="shared" si="17"/>
        <v>0</v>
      </c>
      <c r="U42" s="34">
        <f t="shared" si="17"/>
        <v>0</v>
      </c>
      <c r="V42" s="34">
        <f t="shared" si="17"/>
        <v>0</v>
      </c>
      <c r="W42" s="34">
        <f t="shared" si="17"/>
        <v>0</v>
      </c>
      <c r="X42" s="34">
        <f t="shared" si="17"/>
        <v>0</v>
      </c>
      <c r="Y42" s="34">
        <f t="shared" si="12"/>
        <v>0</v>
      </c>
    </row>
    <row r="43" spans="2:26" x14ac:dyDescent="0.2">
      <c r="B43" s="430" t="s">
        <v>78</v>
      </c>
      <c r="C43" s="431"/>
      <c r="D43" s="432"/>
      <c r="E43" s="35">
        <f t="shared" si="13"/>
        <v>0</v>
      </c>
      <c r="F43" s="35">
        <f t="shared" ref="F43:X43" si="18">IF(F35&gt;0,IF(AND(G35&gt;0,E35&gt;0),12,IF(OR(F$19&gt;0,F35&gt;1,G35&lt;1),6,0)),0)</f>
        <v>0</v>
      </c>
      <c r="G43" s="35">
        <f t="shared" si="18"/>
        <v>0</v>
      </c>
      <c r="H43" s="35">
        <f t="shared" si="18"/>
        <v>0</v>
      </c>
      <c r="I43" s="35">
        <f t="shared" si="18"/>
        <v>0</v>
      </c>
      <c r="J43" s="35">
        <f t="shared" si="18"/>
        <v>0</v>
      </c>
      <c r="K43" s="35">
        <f t="shared" si="18"/>
        <v>0</v>
      </c>
      <c r="L43" s="35">
        <f t="shared" si="18"/>
        <v>0</v>
      </c>
      <c r="M43" s="35">
        <f t="shared" si="18"/>
        <v>0</v>
      </c>
      <c r="N43" s="35">
        <f t="shared" si="18"/>
        <v>0</v>
      </c>
      <c r="O43" s="35">
        <f t="shared" si="18"/>
        <v>0</v>
      </c>
      <c r="P43" s="35">
        <f t="shared" si="18"/>
        <v>0</v>
      </c>
      <c r="Q43" s="35">
        <f t="shared" si="18"/>
        <v>0</v>
      </c>
      <c r="R43" s="35">
        <f t="shared" si="18"/>
        <v>0</v>
      </c>
      <c r="S43" s="35">
        <f t="shared" si="18"/>
        <v>0</v>
      </c>
      <c r="T43" s="35">
        <f t="shared" si="18"/>
        <v>0</v>
      </c>
      <c r="U43" s="35">
        <f t="shared" si="18"/>
        <v>0</v>
      </c>
      <c r="V43" s="35">
        <f t="shared" si="18"/>
        <v>0</v>
      </c>
      <c r="W43" s="35">
        <f t="shared" si="18"/>
        <v>0</v>
      </c>
      <c r="X43" s="35">
        <f t="shared" si="18"/>
        <v>0</v>
      </c>
      <c r="Y43" s="35">
        <f t="shared" si="12"/>
        <v>0</v>
      </c>
    </row>
    <row r="44" spans="2:26" x14ac:dyDescent="0.2">
      <c r="B44" s="433" t="s">
        <v>137</v>
      </c>
      <c r="C44" s="434"/>
      <c r="D44" s="435"/>
      <c r="E44" s="34">
        <f t="shared" si="13"/>
        <v>0</v>
      </c>
      <c r="F44" s="34">
        <f t="shared" ref="F44:X44" si="19">IF(F36&gt;0,IF(AND(G36&gt;0,E36&gt;0),12,IF(OR(F$19&gt;0,F36&gt;1,G36&lt;1),6,0)),0)</f>
        <v>0</v>
      </c>
      <c r="G44" s="34">
        <f t="shared" si="19"/>
        <v>0</v>
      </c>
      <c r="H44" s="34">
        <f t="shared" si="19"/>
        <v>0</v>
      </c>
      <c r="I44" s="34">
        <f t="shared" si="19"/>
        <v>0</v>
      </c>
      <c r="J44" s="34">
        <f t="shared" si="19"/>
        <v>0</v>
      </c>
      <c r="K44" s="34">
        <f t="shared" si="19"/>
        <v>0</v>
      </c>
      <c r="L44" s="34">
        <f t="shared" si="19"/>
        <v>0</v>
      </c>
      <c r="M44" s="34">
        <f t="shared" si="19"/>
        <v>0</v>
      </c>
      <c r="N44" s="34">
        <f t="shared" si="19"/>
        <v>0</v>
      </c>
      <c r="O44" s="34">
        <f t="shared" si="19"/>
        <v>0</v>
      </c>
      <c r="P44" s="34">
        <f t="shared" si="19"/>
        <v>0</v>
      </c>
      <c r="Q44" s="34">
        <f t="shared" si="19"/>
        <v>0</v>
      </c>
      <c r="R44" s="34">
        <f t="shared" si="19"/>
        <v>0</v>
      </c>
      <c r="S44" s="34">
        <f t="shared" si="19"/>
        <v>0</v>
      </c>
      <c r="T44" s="34">
        <f t="shared" si="19"/>
        <v>0</v>
      </c>
      <c r="U44" s="34">
        <f t="shared" si="19"/>
        <v>0</v>
      </c>
      <c r="V44" s="34">
        <f t="shared" si="19"/>
        <v>0</v>
      </c>
      <c r="W44" s="34">
        <f t="shared" si="19"/>
        <v>0</v>
      </c>
      <c r="X44" s="34">
        <f t="shared" si="19"/>
        <v>0</v>
      </c>
      <c r="Y44" s="34">
        <f t="shared" si="12"/>
        <v>0</v>
      </c>
    </row>
    <row r="46" spans="2:26" ht="15.75" customHeight="1" x14ac:dyDescent="0.2">
      <c r="B46" s="454" t="s">
        <v>298</v>
      </c>
      <c r="C46" s="455"/>
      <c r="D46" s="455"/>
      <c r="E46" s="455"/>
      <c r="F46" s="455"/>
      <c r="G46" s="455"/>
      <c r="H46" s="455"/>
      <c r="I46" s="455"/>
      <c r="J46" s="455"/>
      <c r="K46" s="455"/>
      <c r="L46" s="455"/>
      <c r="M46" s="455"/>
      <c r="N46" s="455"/>
      <c r="O46" s="455"/>
      <c r="P46" s="455"/>
      <c r="Q46" s="455"/>
      <c r="R46" s="455"/>
      <c r="S46" s="455"/>
      <c r="T46" s="455"/>
      <c r="U46" s="455"/>
      <c r="V46" s="455"/>
      <c r="W46" s="455"/>
      <c r="X46" s="456"/>
      <c r="Y46" s="45"/>
    </row>
    <row r="47" spans="2:26" ht="15.75" customHeight="1" x14ac:dyDescent="0.2">
      <c r="B47" s="462" t="s">
        <v>62</v>
      </c>
      <c r="C47" s="463"/>
      <c r="D47" s="464"/>
      <c r="E47" s="8">
        <v>0</v>
      </c>
      <c r="F47" s="8">
        <f t="shared" ref="F47" si="20">E47+1</f>
        <v>1</v>
      </c>
      <c r="G47" s="8">
        <f t="shared" ref="G47" si="21">F47+1</f>
        <v>2</v>
      </c>
      <c r="H47" s="8">
        <f t="shared" ref="H47" si="22">G47+1</f>
        <v>3</v>
      </c>
      <c r="I47" s="8">
        <f t="shared" ref="I47" si="23">H47+1</f>
        <v>4</v>
      </c>
      <c r="J47" s="8">
        <f t="shared" ref="J47" si="24">I47+1</f>
        <v>5</v>
      </c>
      <c r="K47" s="8">
        <f t="shared" ref="K47" si="25">J47+1</f>
        <v>6</v>
      </c>
      <c r="L47" s="8">
        <f t="shared" ref="L47" si="26">K47+1</f>
        <v>7</v>
      </c>
      <c r="M47" s="8">
        <f t="shared" ref="M47" si="27">L47+1</f>
        <v>8</v>
      </c>
      <c r="N47" s="8">
        <f t="shared" ref="N47" si="28">M47+1</f>
        <v>9</v>
      </c>
      <c r="O47" s="8">
        <f t="shared" ref="O47" si="29">N47+1</f>
        <v>10</v>
      </c>
      <c r="P47" s="8">
        <f t="shared" ref="P47" si="30">O47+1</f>
        <v>11</v>
      </c>
      <c r="Q47" s="8">
        <f t="shared" ref="Q47" si="31">P47+1</f>
        <v>12</v>
      </c>
      <c r="R47" s="8">
        <f t="shared" ref="R47" si="32">Q47+1</f>
        <v>13</v>
      </c>
      <c r="S47" s="8">
        <f t="shared" ref="S47" si="33">R47+1</f>
        <v>14</v>
      </c>
      <c r="T47" s="8">
        <f t="shared" ref="T47" si="34">S47+1</f>
        <v>15</v>
      </c>
      <c r="U47" s="8">
        <f t="shared" ref="U47" si="35">T47+1</f>
        <v>16</v>
      </c>
      <c r="V47" s="8">
        <f t="shared" ref="V47" si="36">U47+1</f>
        <v>17</v>
      </c>
      <c r="W47" s="8">
        <f t="shared" ref="W47" si="37">V47+1</f>
        <v>18</v>
      </c>
      <c r="X47" s="8">
        <f t="shared" ref="X47" si="38">W47+1</f>
        <v>19</v>
      </c>
      <c r="Y47" s="8">
        <f t="shared" ref="Y47" si="39">X47+1</f>
        <v>20</v>
      </c>
      <c r="Z47" s="45"/>
    </row>
    <row r="48" spans="2:26" ht="15.75" customHeight="1" x14ac:dyDescent="0.2">
      <c r="B48" s="291" t="s">
        <v>0</v>
      </c>
      <c r="C48" s="465"/>
      <c r="D48" s="292"/>
      <c r="E48" s="1"/>
      <c r="F48" s="1"/>
      <c r="G48" s="1"/>
      <c r="H48" s="1"/>
      <c r="I48" s="1"/>
      <c r="J48" s="1"/>
      <c r="K48" s="1"/>
      <c r="L48" s="1"/>
      <c r="M48" s="1"/>
      <c r="N48" s="1"/>
      <c r="O48" s="1"/>
      <c r="P48" s="1"/>
      <c r="Q48" s="1"/>
      <c r="R48" s="1"/>
      <c r="S48" s="1"/>
      <c r="T48" s="1"/>
      <c r="U48" s="1"/>
      <c r="V48" s="1"/>
      <c r="W48" s="1"/>
      <c r="X48" s="1"/>
      <c r="Y48" s="1"/>
      <c r="Z48" s="45"/>
    </row>
    <row r="49" spans="2:26" ht="15.75" customHeight="1" x14ac:dyDescent="0.2">
      <c r="B49" s="367" t="s">
        <v>300</v>
      </c>
      <c r="C49" s="445"/>
      <c r="D49" s="446"/>
      <c r="E49" s="74">
        <f>Inputs!D95*'Vehicle &amp; Station Calculations'!$E$7</f>
        <v>0</v>
      </c>
      <c r="F49" s="74">
        <f>Inputs!E95*'Vehicle &amp; Station Calculations'!$E$7</f>
        <v>0</v>
      </c>
      <c r="G49" s="74">
        <f>Inputs!F95*'Vehicle &amp; Station Calculations'!$E$7</f>
        <v>0</v>
      </c>
      <c r="H49" s="74">
        <f>Inputs!G95*'Vehicle &amp; Station Calculations'!$E$7</f>
        <v>0</v>
      </c>
      <c r="I49" s="74">
        <f>Inputs!H95*'Vehicle &amp; Station Calculations'!$E$7</f>
        <v>0</v>
      </c>
      <c r="J49" s="74">
        <f>Inputs!I95*'Vehicle &amp; Station Calculations'!$E$7</f>
        <v>0</v>
      </c>
      <c r="K49" s="74">
        <f>Inputs!J95*'Vehicle &amp; Station Calculations'!$E$7</f>
        <v>0</v>
      </c>
      <c r="L49" s="74">
        <f>Inputs!K95*'Vehicle &amp; Station Calculations'!$E$7</f>
        <v>0</v>
      </c>
      <c r="M49" s="74">
        <f>Inputs!L95*'Vehicle &amp; Station Calculations'!$E$7</f>
        <v>0</v>
      </c>
      <c r="N49" s="74">
        <f>Inputs!M95*'Vehicle &amp; Station Calculations'!$E$7</f>
        <v>0</v>
      </c>
      <c r="O49" s="74">
        <f>Inputs!N95*'Vehicle &amp; Station Calculations'!$E$7</f>
        <v>0</v>
      </c>
      <c r="P49" s="74">
        <f>Inputs!O95*'Vehicle &amp; Station Calculations'!$E$7</f>
        <v>0</v>
      </c>
      <c r="Q49" s="74">
        <f>Inputs!P95*'Vehicle &amp; Station Calculations'!$E$7</f>
        <v>0</v>
      </c>
      <c r="R49" s="74">
        <f>Inputs!Q95*'Vehicle &amp; Station Calculations'!$E$7</f>
        <v>0</v>
      </c>
      <c r="S49" s="74">
        <f>Inputs!R95*'Vehicle &amp; Station Calculations'!$E$7</f>
        <v>0</v>
      </c>
      <c r="T49" s="74">
        <f>Inputs!S95*'Vehicle &amp; Station Calculations'!$E$7</f>
        <v>0</v>
      </c>
      <c r="U49" s="74">
        <f>Inputs!T95*'Vehicle &amp; Station Calculations'!$E$7</f>
        <v>0</v>
      </c>
      <c r="V49" s="74">
        <f>Inputs!U95*'Vehicle &amp; Station Calculations'!$E$7</f>
        <v>0</v>
      </c>
      <c r="W49" s="74">
        <f>Inputs!V95*'Vehicle &amp; Station Calculations'!$E$7</f>
        <v>0</v>
      </c>
      <c r="X49" s="74">
        <f>Inputs!W95*'Vehicle &amp; Station Calculations'!$E$7</f>
        <v>0</v>
      </c>
      <c r="Y49" s="74">
        <f>Inputs!X95*'Vehicle &amp; Station Calculations'!$E$7</f>
        <v>0</v>
      </c>
      <c r="Z49" s="45"/>
    </row>
    <row r="50" spans="2:26" ht="15.75" customHeight="1" x14ac:dyDescent="0.2">
      <c r="B50" s="367" t="s">
        <v>301</v>
      </c>
      <c r="C50" s="445"/>
      <c r="D50" s="446"/>
      <c r="E50" s="74">
        <f>Inputs!D96*'Vehicle &amp; Station Calculations'!$F$7</f>
        <v>0</v>
      </c>
      <c r="F50" s="74">
        <f>Inputs!E96*'Vehicle &amp; Station Calculations'!$F$7</f>
        <v>0</v>
      </c>
      <c r="G50" s="74">
        <f>Inputs!F96*'Vehicle &amp; Station Calculations'!$F$7</f>
        <v>0</v>
      </c>
      <c r="H50" s="74">
        <f>Inputs!G96*'Vehicle &amp; Station Calculations'!$F$7</f>
        <v>0</v>
      </c>
      <c r="I50" s="74">
        <f>Inputs!H96*'Vehicle &amp; Station Calculations'!$F$7</f>
        <v>0</v>
      </c>
      <c r="J50" s="74">
        <f>Inputs!I96*'Vehicle &amp; Station Calculations'!$F$7</f>
        <v>0</v>
      </c>
      <c r="K50" s="74">
        <f>Inputs!J96*'Vehicle &amp; Station Calculations'!$F$7</f>
        <v>0</v>
      </c>
      <c r="L50" s="74">
        <f>Inputs!K96*'Vehicle &amp; Station Calculations'!$F$7</f>
        <v>0</v>
      </c>
      <c r="M50" s="74">
        <f>Inputs!L96*'Vehicle &amp; Station Calculations'!$F$7</f>
        <v>0</v>
      </c>
      <c r="N50" s="74">
        <f>Inputs!M96*'Vehicle &amp; Station Calculations'!$F$7</f>
        <v>0</v>
      </c>
      <c r="O50" s="74">
        <f>Inputs!N96*'Vehicle &amp; Station Calculations'!$F$7</f>
        <v>0</v>
      </c>
      <c r="P50" s="74">
        <f>Inputs!O96*'Vehicle &amp; Station Calculations'!$F$7</f>
        <v>0</v>
      </c>
      <c r="Q50" s="74">
        <f>Inputs!P96*'Vehicle &amp; Station Calculations'!$F$7</f>
        <v>0</v>
      </c>
      <c r="R50" s="74">
        <f>Inputs!Q96*'Vehicle &amp; Station Calculations'!$F$7</f>
        <v>0</v>
      </c>
      <c r="S50" s="74">
        <f>Inputs!R96*'Vehicle &amp; Station Calculations'!$F$7</f>
        <v>0</v>
      </c>
      <c r="T50" s="74">
        <f>Inputs!S96*'Vehicle &amp; Station Calculations'!$F$7</f>
        <v>0</v>
      </c>
      <c r="U50" s="74">
        <f>Inputs!T96*'Vehicle &amp; Station Calculations'!$F$7</f>
        <v>0</v>
      </c>
      <c r="V50" s="74">
        <f>Inputs!U96*'Vehicle &amp; Station Calculations'!$F$7</f>
        <v>0</v>
      </c>
      <c r="W50" s="74">
        <f>Inputs!V96*'Vehicle &amp; Station Calculations'!$F$7</f>
        <v>0</v>
      </c>
      <c r="X50" s="74">
        <f>Inputs!W96*'Vehicle &amp; Station Calculations'!$F$7</f>
        <v>0</v>
      </c>
      <c r="Y50" s="74">
        <f>Inputs!X96*'Vehicle &amp; Station Calculations'!$F$7</f>
        <v>0</v>
      </c>
      <c r="Z50" s="45"/>
    </row>
    <row r="51" spans="2:26" ht="15.75" customHeight="1" x14ac:dyDescent="0.2">
      <c r="B51" s="367" t="s">
        <v>302</v>
      </c>
      <c r="C51" s="445"/>
      <c r="D51" s="446"/>
      <c r="E51" s="74">
        <f>Inputs!D97*'Vehicle &amp; Station Calculations'!$G$7</f>
        <v>0</v>
      </c>
      <c r="F51" s="74">
        <f>Inputs!E97*'Vehicle &amp; Station Calculations'!$G$7</f>
        <v>0</v>
      </c>
      <c r="G51" s="74">
        <f>Inputs!F97*'Vehicle &amp; Station Calculations'!$G$7</f>
        <v>0</v>
      </c>
      <c r="H51" s="74">
        <f>Inputs!G97*'Vehicle &amp; Station Calculations'!$G$7</f>
        <v>0</v>
      </c>
      <c r="I51" s="74">
        <f>Inputs!H97*'Vehicle &amp; Station Calculations'!$G$7</f>
        <v>0</v>
      </c>
      <c r="J51" s="74">
        <f>Inputs!I97*'Vehicle &amp; Station Calculations'!$G$7</f>
        <v>0</v>
      </c>
      <c r="K51" s="74">
        <f>Inputs!J97*'Vehicle &amp; Station Calculations'!$G$7</f>
        <v>0</v>
      </c>
      <c r="L51" s="74">
        <f>Inputs!K97*'Vehicle &amp; Station Calculations'!$G$7</f>
        <v>0</v>
      </c>
      <c r="M51" s="74">
        <f>Inputs!L97*'Vehicle &amp; Station Calculations'!$G$7</f>
        <v>0</v>
      </c>
      <c r="N51" s="74">
        <f>Inputs!M97*'Vehicle &amp; Station Calculations'!$G$7</f>
        <v>0</v>
      </c>
      <c r="O51" s="74">
        <f>Inputs!N97*'Vehicle &amp; Station Calculations'!$G$7</f>
        <v>0</v>
      </c>
      <c r="P51" s="74">
        <f>Inputs!O97*'Vehicle &amp; Station Calculations'!$G$7</f>
        <v>0</v>
      </c>
      <c r="Q51" s="74">
        <f>Inputs!P97*'Vehicle &amp; Station Calculations'!$G$7</f>
        <v>0</v>
      </c>
      <c r="R51" s="74">
        <f>Inputs!Q97*'Vehicle &amp; Station Calculations'!$G$7</f>
        <v>0</v>
      </c>
      <c r="S51" s="74">
        <f>Inputs!R97*'Vehicle &amp; Station Calculations'!$G$7</f>
        <v>0</v>
      </c>
      <c r="T51" s="74">
        <f>Inputs!S97*'Vehicle &amp; Station Calculations'!$G$7</f>
        <v>0</v>
      </c>
      <c r="U51" s="74">
        <f>Inputs!T97*'Vehicle &amp; Station Calculations'!$G$7</f>
        <v>0</v>
      </c>
      <c r="V51" s="74">
        <f>Inputs!U97*'Vehicle &amp; Station Calculations'!$G$7</f>
        <v>0</v>
      </c>
      <c r="W51" s="74">
        <f>Inputs!V97*'Vehicle &amp; Station Calculations'!$G$7</f>
        <v>0</v>
      </c>
      <c r="X51" s="74">
        <f>Inputs!W97*'Vehicle &amp; Station Calculations'!$G$7</f>
        <v>0</v>
      </c>
      <c r="Y51" s="74">
        <f>Inputs!X97*'Vehicle &amp; Station Calculations'!$G$7</f>
        <v>0</v>
      </c>
      <c r="Z51" s="45"/>
    </row>
    <row r="52" spans="2:26" ht="15.75" customHeight="1" x14ac:dyDescent="0.2">
      <c r="B52" s="367" t="s">
        <v>210</v>
      </c>
      <c r="C52" s="445"/>
      <c r="D52" s="446"/>
      <c r="E52" s="74">
        <f>Inputs!D98*'Vehicle &amp; Station Calculations'!$H$7</f>
        <v>0</v>
      </c>
      <c r="F52" s="74">
        <f>Inputs!E98*'Vehicle &amp; Station Calculations'!$H$7</f>
        <v>0</v>
      </c>
      <c r="G52" s="74">
        <f>Inputs!F98*'Vehicle &amp; Station Calculations'!$H$7</f>
        <v>0</v>
      </c>
      <c r="H52" s="74">
        <f>Inputs!G98*'Vehicle &amp; Station Calculations'!$H$7</f>
        <v>0</v>
      </c>
      <c r="I52" s="74">
        <f>Inputs!H98*'Vehicle &amp; Station Calculations'!$H$7</f>
        <v>0</v>
      </c>
      <c r="J52" s="74">
        <f>Inputs!I98*'Vehicle &amp; Station Calculations'!$H$7</f>
        <v>0</v>
      </c>
      <c r="K52" s="74">
        <f>Inputs!J98*'Vehicle &amp; Station Calculations'!$H$7</f>
        <v>0</v>
      </c>
      <c r="L52" s="74">
        <f>Inputs!K98*'Vehicle &amp; Station Calculations'!$H$7</f>
        <v>0</v>
      </c>
      <c r="M52" s="74">
        <f>Inputs!L98*'Vehicle &amp; Station Calculations'!$H$7</f>
        <v>0</v>
      </c>
      <c r="N52" s="74">
        <f>Inputs!M98*'Vehicle &amp; Station Calculations'!$H$7</f>
        <v>0</v>
      </c>
      <c r="O52" s="74">
        <f>Inputs!N98*'Vehicle &amp; Station Calculations'!$H$7</f>
        <v>0</v>
      </c>
      <c r="P52" s="74">
        <f>Inputs!O98*'Vehicle &amp; Station Calculations'!$H$7</f>
        <v>0</v>
      </c>
      <c r="Q52" s="74">
        <f>Inputs!P98*'Vehicle &amp; Station Calculations'!$H$7</f>
        <v>0</v>
      </c>
      <c r="R52" s="74">
        <f>Inputs!Q98*'Vehicle &amp; Station Calculations'!$H$7</f>
        <v>0</v>
      </c>
      <c r="S52" s="74">
        <f>Inputs!R98*'Vehicle &amp; Station Calculations'!$H$7</f>
        <v>0</v>
      </c>
      <c r="T52" s="74">
        <f>Inputs!S98*'Vehicle &amp; Station Calculations'!$H$7</f>
        <v>0</v>
      </c>
      <c r="U52" s="74">
        <f>Inputs!T98*'Vehicle &amp; Station Calculations'!$H$7</f>
        <v>0</v>
      </c>
      <c r="V52" s="74">
        <f>Inputs!U98*'Vehicle &amp; Station Calculations'!$H$7</f>
        <v>0</v>
      </c>
      <c r="W52" s="74">
        <f>Inputs!V98*'Vehicle &amp; Station Calculations'!$H$7</f>
        <v>0</v>
      </c>
      <c r="X52" s="74">
        <f>Inputs!W98*'Vehicle &amp; Station Calculations'!$H$7</f>
        <v>0</v>
      </c>
      <c r="Y52" s="74">
        <f>Inputs!X98*'Vehicle &amp; Station Calculations'!$H$7</f>
        <v>0</v>
      </c>
      <c r="Z52" s="45"/>
    </row>
    <row r="53" spans="2:26" ht="15.75" customHeight="1" x14ac:dyDescent="0.2">
      <c r="B53" s="367" t="s">
        <v>7</v>
      </c>
      <c r="C53" s="445"/>
      <c r="D53" s="446"/>
      <c r="E53" s="74">
        <f>Inputs!D99*'Vehicle &amp; Station Calculations'!$I$7</f>
        <v>0</v>
      </c>
      <c r="F53" s="74">
        <f>Inputs!E99*'Vehicle &amp; Station Calculations'!$I$7</f>
        <v>0</v>
      </c>
      <c r="G53" s="74">
        <f>Inputs!F99*'Vehicle &amp; Station Calculations'!$I$7</f>
        <v>0</v>
      </c>
      <c r="H53" s="74">
        <f>Inputs!G99*'Vehicle &amp; Station Calculations'!$I$7</f>
        <v>0</v>
      </c>
      <c r="I53" s="74">
        <f>Inputs!H99*'Vehicle &amp; Station Calculations'!$I$7</f>
        <v>0</v>
      </c>
      <c r="J53" s="74">
        <f>Inputs!I99*'Vehicle &amp; Station Calculations'!$I$7</f>
        <v>0</v>
      </c>
      <c r="K53" s="74">
        <f>Inputs!J99*'Vehicle &amp; Station Calculations'!$I$7</f>
        <v>0</v>
      </c>
      <c r="L53" s="74">
        <f>Inputs!K99*'Vehicle &amp; Station Calculations'!$I$7</f>
        <v>0</v>
      </c>
      <c r="M53" s="74">
        <f>Inputs!L99*'Vehicle &amp; Station Calculations'!$I$7</f>
        <v>0</v>
      </c>
      <c r="N53" s="74">
        <f>Inputs!M99*'Vehicle &amp; Station Calculations'!$I$7</f>
        <v>0</v>
      </c>
      <c r="O53" s="74">
        <f>Inputs!N99*'Vehicle &amp; Station Calculations'!$I$7</f>
        <v>0</v>
      </c>
      <c r="P53" s="74">
        <f>Inputs!O99*'Vehicle &amp; Station Calculations'!$I$7</f>
        <v>0</v>
      </c>
      <c r="Q53" s="74">
        <f>Inputs!P99*'Vehicle &amp; Station Calculations'!$I$7</f>
        <v>0</v>
      </c>
      <c r="R53" s="74">
        <f>Inputs!Q99*'Vehicle &amp; Station Calculations'!$I$7</f>
        <v>0</v>
      </c>
      <c r="S53" s="74">
        <f>Inputs!R99*'Vehicle &amp; Station Calculations'!$I$7</f>
        <v>0</v>
      </c>
      <c r="T53" s="74">
        <f>Inputs!S99*'Vehicle &amp; Station Calculations'!$I$7</f>
        <v>0</v>
      </c>
      <c r="U53" s="74">
        <f>Inputs!T99*'Vehicle &amp; Station Calculations'!$I$7</f>
        <v>0</v>
      </c>
      <c r="V53" s="74">
        <f>Inputs!U99*'Vehicle &amp; Station Calculations'!$I$7</f>
        <v>0</v>
      </c>
      <c r="W53" s="74">
        <f>Inputs!V99*'Vehicle &amp; Station Calculations'!$I$7</f>
        <v>0</v>
      </c>
      <c r="X53" s="74">
        <f>Inputs!W99*'Vehicle &amp; Station Calculations'!$I$7</f>
        <v>0</v>
      </c>
      <c r="Y53" s="74">
        <f>Inputs!X99*'Vehicle &amp; Station Calculations'!$I$7</f>
        <v>0</v>
      </c>
      <c r="Z53" s="45"/>
    </row>
    <row r="54" spans="2:26" ht="15.75" customHeight="1" x14ac:dyDescent="0.2">
      <c r="B54" s="369" t="s">
        <v>303</v>
      </c>
      <c r="C54" s="466"/>
      <c r="D54" s="370"/>
      <c r="E54" s="74">
        <f>Inputs!D100*'Vehicle &amp; Station Calculations'!$J$7</f>
        <v>0</v>
      </c>
      <c r="F54" s="74">
        <f>Inputs!E100*'Vehicle &amp; Station Calculations'!$J$7</f>
        <v>0</v>
      </c>
      <c r="G54" s="74">
        <f>Inputs!F100*'Vehicle &amp; Station Calculations'!$J$7</f>
        <v>0</v>
      </c>
      <c r="H54" s="74">
        <f>Inputs!G100*'Vehicle &amp; Station Calculations'!$J$7</f>
        <v>0</v>
      </c>
      <c r="I54" s="74">
        <f>Inputs!H100*'Vehicle &amp; Station Calculations'!$J$7</f>
        <v>0</v>
      </c>
      <c r="J54" s="74">
        <f>Inputs!I100*'Vehicle &amp; Station Calculations'!$J$7</f>
        <v>0</v>
      </c>
      <c r="K54" s="74">
        <f>Inputs!J100*'Vehicle &amp; Station Calculations'!$J$7</f>
        <v>0</v>
      </c>
      <c r="L54" s="74">
        <f>Inputs!K100*'Vehicle &amp; Station Calculations'!$J$7</f>
        <v>0</v>
      </c>
      <c r="M54" s="74">
        <f>Inputs!L100*'Vehicle &amp; Station Calculations'!$J$7</f>
        <v>0</v>
      </c>
      <c r="N54" s="74">
        <f>Inputs!M100*'Vehicle &amp; Station Calculations'!$J$7</f>
        <v>0</v>
      </c>
      <c r="O54" s="74">
        <f>Inputs!N100*'Vehicle &amp; Station Calculations'!$J$7</f>
        <v>0</v>
      </c>
      <c r="P54" s="74">
        <f>Inputs!O100*'Vehicle &amp; Station Calculations'!$J$7</f>
        <v>0</v>
      </c>
      <c r="Q54" s="74">
        <f>Inputs!P100*'Vehicle &amp; Station Calculations'!$J$7</f>
        <v>0</v>
      </c>
      <c r="R54" s="74">
        <f>Inputs!Q100*'Vehicle &amp; Station Calculations'!$J$7</f>
        <v>0</v>
      </c>
      <c r="S54" s="74">
        <f>Inputs!R100*'Vehicle &amp; Station Calculations'!$J$7</f>
        <v>0</v>
      </c>
      <c r="T54" s="74">
        <f>Inputs!S100*'Vehicle &amp; Station Calculations'!$J$7</f>
        <v>0</v>
      </c>
      <c r="U54" s="74">
        <f>Inputs!T100*'Vehicle &amp; Station Calculations'!$J$7</f>
        <v>0</v>
      </c>
      <c r="V54" s="74">
        <f>Inputs!U100*'Vehicle &amp; Station Calculations'!$J$7</f>
        <v>0</v>
      </c>
      <c r="W54" s="74">
        <f>Inputs!V100*'Vehicle &amp; Station Calculations'!$J$7</f>
        <v>0</v>
      </c>
      <c r="X54" s="74">
        <f>Inputs!W100*'Vehicle &amp; Station Calculations'!$J$7</f>
        <v>0</v>
      </c>
      <c r="Y54" s="74">
        <f>Inputs!X100*'Vehicle &amp; Station Calculations'!$J$7</f>
        <v>0</v>
      </c>
      <c r="Z54" s="45"/>
    </row>
    <row r="55" spans="2:26" ht="15.75" customHeight="1" x14ac:dyDescent="0.2">
      <c r="B55" s="367" t="s">
        <v>304</v>
      </c>
      <c r="C55" s="445"/>
      <c r="D55" s="446"/>
      <c r="E55" s="74">
        <f>Inputs!D101*'Vehicle &amp; Station Calculations'!$K$7</f>
        <v>0</v>
      </c>
      <c r="F55" s="74">
        <f>Inputs!E101*'Vehicle &amp; Station Calculations'!$K$7</f>
        <v>0</v>
      </c>
      <c r="G55" s="74">
        <f>Inputs!F101*'Vehicle &amp; Station Calculations'!$K$7</f>
        <v>0</v>
      </c>
      <c r="H55" s="74">
        <f>Inputs!G101*'Vehicle &amp; Station Calculations'!$K$7</f>
        <v>0</v>
      </c>
      <c r="I55" s="74">
        <f>Inputs!H101*'Vehicle &amp; Station Calculations'!$K$7</f>
        <v>0</v>
      </c>
      <c r="J55" s="74">
        <f>Inputs!I101*'Vehicle &amp; Station Calculations'!$K$7</f>
        <v>0</v>
      </c>
      <c r="K55" s="74">
        <f>Inputs!J101*'Vehicle &amp; Station Calculations'!$K$7</f>
        <v>0</v>
      </c>
      <c r="L55" s="74">
        <f>Inputs!K101*'Vehicle &amp; Station Calculations'!$K$7</f>
        <v>0</v>
      </c>
      <c r="M55" s="74">
        <f>Inputs!L101*'Vehicle &amp; Station Calculations'!$K$7</f>
        <v>0</v>
      </c>
      <c r="N55" s="74">
        <f>Inputs!M101*'Vehicle &amp; Station Calculations'!$K$7</f>
        <v>0</v>
      </c>
      <c r="O55" s="74">
        <f>Inputs!N101*'Vehicle &amp; Station Calculations'!$K$7</f>
        <v>0</v>
      </c>
      <c r="P55" s="74">
        <f>Inputs!O101*'Vehicle &amp; Station Calculations'!$K$7</f>
        <v>0</v>
      </c>
      <c r="Q55" s="74">
        <f>Inputs!P101*'Vehicle &amp; Station Calculations'!$K$7</f>
        <v>0</v>
      </c>
      <c r="R55" s="74">
        <f>Inputs!Q101*'Vehicle &amp; Station Calculations'!$K$7</f>
        <v>0</v>
      </c>
      <c r="S55" s="74">
        <f>Inputs!R101*'Vehicle &amp; Station Calculations'!$K$7</f>
        <v>0</v>
      </c>
      <c r="T55" s="74">
        <f>Inputs!S101*'Vehicle &amp; Station Calculations'!$K$7</f>
        <v>0</v>
      </c>
      <c r="U55" s="74">
        <f>Inputs!T101*'Vehicle &amp; Station Calculations'!$K$7</f>
        <v>0</v>
      </c>
      <c r="V55" s="74">
        <f>Inputs!U101*'Vehicle &amp; Station Calculations'!$K$7</f>
        <v>0</v>
      </c>
      <c r="W55" s="74">
        <f>Inputs!V101*'Vehicle &amp; Station Calculations'!$K$7</f>
        <v>0</v>
      </c>
      <c r="X55" s="74">
        <f>Inputs!W101*'Vehicle &amp; Station Calculations'!$K$7</f>
        <v>0</v>
      </c>
      <c r="Y55" s="74">
        <f>Inputs!X101*'Vehicle &amp; Station Calculations'!$K$7</f>
        <v>0</v>
      </c>
      <c r="Z55" s="45"/>
    </row>
    <row r="56" spans="2:26" ht="15.75" customHeight="1" x14ac:dyDescent="0.2">
      <c r="B56" s="103"/>
      <c r="C56" s="460" t="s">
        <v>172</v>
      </c>
      <c r="D56" s="461"/>
      <c r="E56" s="74">
        <f t="shared" ref="E56:Y56" si="40">SUM(E49:E55)</f>
        <v>0</v>
      </c>
      <c r="F56" s="74">
        <f t="shared" si="40"/>
        <v>0</v>
      </c>
      <c r="G56" s="74">
        <f t="shared" si="40"/>
        <v>0</v>
      </c>
      <c r="H56" s="74">
        <f t="shared" si="40"/>
        <v>0</v>
      </c>
      <c r="I56" s="74">
        <f t="shared" si="40"/>
        <v>0</v>
      </c>
      <c r="J56" s="74">
        <f t="shared" si="40"/>
        <v>0</v>
      </c>
      <c r="K56" s="74">
        <f t="shared" si="40"/>
        <v>0</v>
      </c>
      <c r="L56" s="74">
        <f t="shared" si="40"/>
        <v>0</v>
      </c>
      <c r="M56" s="74">
        <f t="shared" si="40"/>
        <v>0</v>
      </c>
      <c r="N56" s="74">
        <f t="shared" si="40"/>
        <v>0</v>
      </c>
      <c r="O56" s="74">
        <f t="shared" si="40"/>
        <v>0</v>
      </c>
      <c r="P56" s="74">
        <f t="shared" si="40"/>
        <v>0</v>
      </c>
      <c r="Q56" s="74">
        <f t="shared" si="40"/>
        <v>0</v>
      </c>
      <c r="R56" s="74">
        <f t="shared" si="40"/>
        <v>0</v>
      </c>
      <c r="S56" s="74">
        <f t="shared" si="40"/>
        <v>0</v>
      </c>
      <c r="T56" s="74">
        <f t="shared" si="40"/>
        <v>0</v>
      </c>
      <c r="U56" s="74">
        <f t="shared" si="40"/>
        <v>0</v>
      </c>
      <c r="V56" s="74">
        <f t="shared" si="40"/>
        <v>0</v>
      </c>
      <c r="W56" s="74">
        <f t="shared" si="40"/>
        <v>0</v>
      </c>
      <c r="X56" s="74">
        <f t="shared" si="40"/>
        <v>0</v>
      </c>
      <c r="Y56" s="74">
        <f t="shared" si="40"/>
        <v>0</v>
      </c>
      <c r="Z56" s="45"/>
    </row>
    <row r="57" spans="2:26" ht="16" x14ac:dyDescent="0.2">
      <c r="E57" s="45"/>
      <c r="F57" s="45"/>
      <c r="G57" s="45"/>
      <c r="H57" s="45"/>
      <c r="I57" s="45"/>
      <c r="J57" s="45"/>
      <c r="K57" s="45"/>
      <c r="L57" s="45"/>
      <c r="M57" s="45"/>
      <c r="N57" s="45"/>
      <c r="O57" s="45"/>
      <c r="P57" s="45"/>
      <c r="Q57" s="45"/>
      <c r="R57" s="45"/>
      <c r="S57" s="45"/>
      <c r="T57" s="45"/>
      <c r="U57" s="45"/>
      <c r="V57" s="45"/>
      <c r="W57" s="45"/>
      <c r="X57" s="45"/>
      <c r="Y57" s="45"/>
    </row>
    <row r="58" spans="2:26" ht="16" x14ac:dyDescent="0.2">
      <c r="B58" s="454" t="s">
        <v>159</v>
      </c>
      <c r="C58" s="455"/>
      <c r="D58" s="455"/>
      <c r="E58" s="455"/>
      <c r="F58" s="455"/>
      <c r="G58" s="455"/>
      <c r="H58" s="455"/>
      <c r="I58" s="455"/>
      <c r="J58" s="455"/>
      <c r="K58" s="455"/>
      <c r="L58" s="455"/>
      <c r="M58" s="455"/>
      <c r="N58" s="455"/>
      <c r="O58" s="455"/>
      <c r="P58" s="455"/>
      <c r="Q58" s="455"/>
      <c r="R58" s="455"/>
      <c r="S58" s="455"/>
      <c r="T58" s="455"/>
      <c r="U58" s="455"/>
      <c r="V58" s="455"/>
      <c r="W58" s="455"/>
      <c r="X58" s="456"/>
      <c r="Y58" s="234"/>
      <c r="Z58" s="48"/>
    </row>
    <row r="59" spans="2:26" ht="28.5" customHeight="1" x14ac:dyDescent="0.2">
      <c r="B59" s="450" t="s">
        <v>306</v>
      </c>
      <c r="C59" s="451"/>
      <c r="D59" s="452"/>
      <c r="E59" s="125">
        <f t="shared" ref="E59:Y59" si="41">(E20*$E$8)+(E21*$F$8)+(E22*$G$8)+(E23*$H$8)+(E24*$I$8)+(E25*$J$8)+(E26*$K$8)</f>
        <v>0</v>
      </c>
      <c r="F59" s="125">
        <f t="shared" si="41"/>
        <v>0</v>
      </c>
      <c r="G59" s="125">
        <f t="shared" si="41"/>
        <v>0</v>
      </c>
      <c r="H59" s="125">
        <f t="shared" si="41"/>
        <v>0</v>
      </c>
      <c r="I59" s="125">
        <f t="shared" si="41"/>
        <v>0</v>
      </c>
      <c r="J59" s="125">
        <f t="shared" si="41"/>
        <v>0</v>
      </c>
      <c r="K59" s="125">
        <f t="shared" si="41"/>
        <v>0</v>
      </c>
      <c r="L59" s="125">
        <f t="shared" si="41"/>
        <v>0</v>
      </c>
      <c r="M59" s="125">
        <f t="shared" si="41"/>
        <v>0</v>
      </c>
      <c r="N59" s="125">
        <f t="shared" si="41"/>
        <v>0</v>
      </c>
      <c r="O59" s="125">
        <f t="shared" si="41"/>
        <v>0</v>
      </c>
      <c r="P59" s="125">
        <f t="shared" si="41"/>
        <v>0</v>
      </c>
      <c r="Q59" s="125">
        <f t="shared" si="41"/>
        <v>0</v>
      </c>
      <c r="R59" s="125">
        <f t="shared" si="41"/>
        <v>0</v>
      </c>
      <c r="S59" s="125">
        <f t="shared" si="41"/>
        <v>0</v>
      </c>
      <c r="T59" s="125">
        <f t="shared" si="41"/>
        <v>0</v>
      </c>
      <c r="U59" s="125">
        <f t="shared" si="41"/>
        <v>0</v>
      </c>
      <c r="V59" s="125">
        <f t="shared" si="41"/>
        <v>0</v>
      </c>
      <c r="W59" s="125">
        <f t="shared" si="41"/>
        <v>0</v>
      </c>
      <c r="X59" s="125">
        <f t="shared" si="41"/>
        <v>0</v>
      </c>
      <c r="Y59" s="125">
        <f t="shared" si="41"/>
        <v>0</v>
      </c>
      <c r="Z59" s="235"/>
    </row>
    <row r="60" spans="2:26" ht="15" customHeight="1" x14ac:dyDescent="0.2">
      <c r="B60" s="457" t="s">
        <v>305</v>
      </c>
      <c r="C60" s="458"/>
      <c r="D60" s="459"/>
      <c r="E60" s="89">
        <f>E59</f>
        <v>0</v>
      </c>
      <c r="F60" s="89">
        <f>IF(F59&gt;+MAX(E59),F59-MAX(E59),0)</f>
        <v>0</v>
      </c>
      <c r="G60" s="89">
        <f>IF(G59&gt;+MAX($E59:F59),G59-MAX($E59:F59),0)</f>
        <v>0</v>
      </c>
      <c r="H60" s="89">
        <f>IF(H59&gt;+MAX($E59:G59),H59-MAX($E59:G59),0)</f>
        <v>0</v>
      </c>
      <c r="I60" s="89">
        <f>IF(I59&gt;+MAX($E59:H59),I59-MAX($E59:H59),0)</f>
        <v>0</v>
      </c>
      <c r="J60" s="89">
        <f>IF(J59&gt;+MAX($E59:I59),J59-MAX($E59:I59),0)</f>
        <v>0</v>
      </c>
      <c r="K60" s="89">
        <f>IF(K59&gt;+MAX($E59:J59),K59-MAX($E59:J59),0)</f>
        <v>0</v>
      </c>
      <c r="L60" s="89">
        <f>IF(L59&gt;+MAX($E59:K59),L59-MAX($E59:K59),0)</f>
        <v>0</v>
      </c>
      <c r="M60" s="89">
        <f>IF(M59&gt;+MAX($E59:L59),M59-MAX($E59:L59),0)</f>
        <v>0</v>
      </c>
      <c r="N60" s="89">
        <f>IF(N59&gt;+MAX($E59:M59),N59-MAX($E59:M59),0)</f>
        <v>0</v>
      </c>
      <c r="O60" s="89">
        <f>IF(O59&gt;+MAX($E59:N59),O59-MAX($E59:N59),0)</f>
        <v>0</v>
      </c>
      <c r="P60" s="89">
        <f>IF(P59&gt;+MAX($E59:O59),P59-MAX($E59:O59),0)</f>
        <v>0</v>
      </c>
      <c r="Q60" s="89">
        <f>IF(Q59&gt;+MAX($E59:P59),Q59-MAX($E59:P59),0)</f>
        <v>0</v>
      </c>
      <c r="R60" s="89">
        <f>IF(R59&gt;+MAX($E59:Q59),R59-MAX($E59:Q59),0)</f>
        <v>0</v>
      </c>
      <c r="S60" s="89">
        <f>IF(S59&gt;+MAX($E59:R59),S59-MAX($E59:R59),0)</f>
        <v>0</v>
      </c>
      <c r="T60" s="89">
        <f>IF(T59&gt;+MAX($E59:S59),T59-MAX($E59:S59),0)</f>
        <v>0</v>
      </c>
      <c r="U60" s="89">
        <f>IF(U59&gt;+MAX($E59:T59),U59-MAX($E59:T59),0)</f>
        <v>0</v>
      </c>
      <c r="V60" s="89">
        <f>IF(V59&gt;+MAX($E59:U59),V59-MAX($E59:U59),0)</f>
        <v>0</v>
      </c>
      <c r="W60" s="89">
        <f>IF(W59&gt;+MAX($E59:V59),W59-MAX($E59:V59),0)</f>
        <v>0</v>
      </c>
      <c r="X60" s="89">
        <f>IF(X59&gt;+MAX($E59:W59),X59-MAX($E59:W59),0)</f>
        <v>0</v>
      </c>
      <c r="Y60" s="89">
        <f>IF(Y59&gt;+MAX($E59:X59),Y59-MAX($E59:X59),0)</f>
        <v>0</v>
      </c>
      <c r="Z60" s="48"/>
    </row>
    <row r="61" spans="2:26" x14ac:dyDescent="0.2">
      <c r="B61" s="450" t="s">
        <v>157</v>
      </c>
      <c r="C61" s="451"/>
      <c r="D61" s="452"/>
      <c r="E61" s="243">
        <f>E60</f>
        <v>0</v>
      </c>
      <c r="F61" s="243">
        <f>F60+E61</f>
        <v>0</v>
      </c>
      <c r="G61" s="243">
        <f t="shared" ref="G61:Y61" si="42">G60+F61</f>
        <v>0</v>
      </c>
      <c r="H61" s="243">
        <f t="shared" si="42"/>
        <v>0</v>
      </c>
      <c r="I61" s="243">
        <f t="shared" si="42"/>
        <v>0</v>
      </c>
      <c r="J61" s="243">
        <f t="shared" si="42"/>
        <v>0</v>
      </c>
      <c r="K61" s="243">
        <f t="shared" si="42"/>
        <v>0</v>
      </c>
      <c r="L61" s="243">
        <f t="shared" si="42"/>
        <v>0</v>
      </c>
      <c r="M61" s="243">
        <f t="shared" si="42"/>
        <v>0</v>
      </c>
      <c r="N61" s="243">
        <f t="shared" si="42"/>
        <v>0</v>
      </c>
      <c r="O61" s="243">
        <f t="shared" si="42"/>
        <v>0</v>
      </c>
      <c r="P61" s="243">
        <f t="shared" si="42"/>
        <v>0</v>
      </c>
      <c r="Q61" s="243">
        <f t="shared" si="42"/>
        <v>0</v>
      </c>
      <c r="R61" s="243">
        <f t="shared" si="42"/>
        <v>0</v>
      </c>
      <c r="S61" s="243">
        <f t="shared" si="42"/>
        <v>0</v>
      </c>
      <c r="T61" s="243">
        <f t="shared" si="42"/>
        <v>0</v>
      </c>
      <c r="U61" s="243">
        <f t="shared" si="42"/>
        <v>0</v>
      </c>
      <c r="V61" s="243">
        <f t="shared" si="42"/>
        <v>0</v>
      </c>
      <c r="W61" s="243">
        <f t="shared" si="42"/>
        <v>0</v>
      </c>
      <c r="X61" s="243">
        <f t="shared" si="42"/>
        <v>0</v>
      </c>
      <c r="Y61" s="243">
        <f t="shared" si="42"/>
        <v>0</v>
      </c>
      <c r="Z61" s="48"/>
    </row>
    <row r="62" spans="2:26" x14ac:dyDescent="0.2">
      <c r="B62" s="326" t="s">
        <v>149</v>
      </c>
      <c r="C62" s="453"/>
      <c r="D62" s="327"/>
      <c r="E62" s="133">
        <f>Inputs!D103</f>
        <v>0</v>
      </c>
      <c r="F62" s="133">
        <f>Inputs!E103</f>
        <v>0</v>
      </c>
      <c r="G62" s="133">
        <f>Inputs!F103</f>
        <v>0</v>
      </c>
      <c r="H62" s="133">
        <f>Inputs!G103</f>
        <v>0</v>
      </c>
      <c r="I62" s="133">
        <f>Inputs!H103</f>
        <v>0</v>
      </c>
      <c r="J62" s="133">
        <f>Inputs!I103</f>
        <v>0</v>
      </c>
      <c r="K62" s="133">
        <f>Inputs!J103</f>
        <v>0</v>
      </c>
      <c r="L62" s="133">
        <f>Inputs!K103</f>
        <v>0</v>
      </c>
      <c r="M62" s="133">
        <f>Inputs!L103</f>
        <v>0</v>
      </c>
      <c r="N62" s="133">
        <f>Inputs!M103</f>
        <v>0</v>
      </c>
      <c r="O62" s="133">
        <f>Inputs!N103</f>
        <v>0</v>
      </c>
      <c r="P62" s="133">
        <f>Inputs!O103</f>
        <v>0</v>
      </c>
      <c r="Q62" s="133">
        <f>Inputs!P103</f>
        <v>0</v>
      </c>
      <c r="R62" s="133">
        <f>Inputs!Q103</f>
        <v>0</v>
      </c>
      <c r="S62" s="133">
        <f>Inputs!R103</f>
        <v>0</v>
      </c>
      <c r="T62" s="133">
        <f>Inputs!S103</f>
        <v>0</v>
      </c>
      <c r="U62" s="133">
        <f>Inputs!T103</f>
        <v>0</v>
      </c>
      <c r="V62" s="133">
        <f>Inputs!U103</f>
        <v>0</v>
      </c>
      <c r="W62" s="133">
        <f>Inputs!V103</f>
        <v>0</v>
      </c>
      <c r="X62" s="133">
        <f>Inputs!W103</f>
        <v>0</v>
      </c>
      <c r="Y62" s="133">
        <f>Inputs!X103</f>
        <v>0</v>
      </c>
      <c r="Z62" s="48"/>
    </row>
    <row r="63" spans="2:26" ht="16" x14ac:dyDescent="0.2">
      <c r="B63" s="480" t="s">
        <v>150</v>
      </c>
      <c r="C63" s="481"/>
      <c r="D63" s="482"/>
      <c r="E63" s="233">
        <f t="shared" ref="E63:Y63" si="43">IF(Project_Type=2,0,IF(E60&gt;0,(FF_Slope*E60)+FF_Offset,0))</f>
        <v>0</v>
      </c>
      <c r="F63" s="233">
        <f t="shared" si="43"/>
        <v>0</v>
      </c>
      <c r="G63" s="233">
        <f t="shared" si="43"/>
        <v>0</v>
      </c>
      <c r="H63" s="233">
        <f t="shared" si="43"/>
        <v>0</v>
      </c>
      <c r="I63" s="233">
        <f t="shared" si="43"/>
        <v>0</v>
      </c>
      <c r="J63" s="233">
        <f t="shared" si="43"/>
        <v>0</v>
      </c>
      <c r="K63" s="233">
        <f t="shared" si="43"/>
        <v>0</v>
      </c>
      <c r="L63" s="233">
        <f t="shared" si="43"/>
        <v>0</v>
      </c>
      <c r="M63" s="233">
        <f t="shared" si="43"/>
        <v>0</v>
      </c>
      <c r="N63" s="233">
        <f t="shared" si="43"/>
        <v>0</v>
      </c>
      <c r="O63" s="233">
        <f t="shared" si="43"/>
        <v>0</v>
      </c>
      <c r="P63" s="233">
        <f t="shared" si="43"/>
        <v>0</v>
      </c>
      <c r="Q63" s="233">
        <f t="shared" si="43"/>
        <v>0</v>
      </c>
      <c r="R63" s="233">
        <f t="shared" si="43"/>
        <v>0</v>
      </c>
      <c r="S63" s="233">
        <f t="shared" si="43"/>
        <v>0</v>
      </c>
      <c r="T63" s="233">
        <f t="shared" si="43"/>
        <v>0</v>
      </c>
      <c r="U63" s="233">
        <f t="shared" si="43"/>
        <v>0</v>
      </c>
      <c r="V63" s="233">
        <f t="shared" si="43"/>
        <v>0</v>
      </c>
      <c r="W63" s="233">
        <f t="shared" si="43"/>
        <v>0</v>
      </c>
      <c r="X63" s="233">
        <f t="shared" si="43"/>
        <v>0</v>
      </c>
      <c r="Y63" s="233">
        <f t="shared" si="43"/>
        <v>0</v>
      </c>
      <c r="Z63" s="48"/>
    </row>
    <row r="64" spans="2:26" x14ac:dyDescent="0.2">
      <c r="E64" s="232"/>
      <c r="F64" s="232"/>
      <c r="G64" s="232"/>
      <c r="H64" s="232"/>
      <c r="I64" s="232"/>
      <c r="J64" s="232"/>
      <c r="K64" s="232"/>
      <c r="L64" s="232"/>
      <c r="M64" s="232"/>
      <c r="N64" s="232"/>
      <c r="O64" s="232"/>
      <c r="P64" s="232"/>
      <c r="Q64" s="232"/>
      <c r="R64" s="232"/>
      <c r="S64" s="232"/>
      <c r="T64" s="232"/>
      <c r="U64" s="232"/>
      <c r="V64" s="232"/>
      <c r="W64" s="232"/>
      <c r="X64" s="232"/>
      <c r="Y64" s="232"/>
      <c r="Z64" s="48"/>
    </row>
    <row r="65" spans="2:26" x14ac:dyDescent="0.2">
      <c r="F65" s="46"/>
      <c r="G65" s="46"/>
      <c r="H65" s="46"/>
      <c r="I65" s="46"/>
      <c r="J65" s="46"/>
      <c r="K65" s="46"/>
      <c r="L65" s="46"/>
      <c r="M65" s="46"/>
      <c r="N65" s="46"/>
      <c r="O65" s="46"/>
      <c r="P65" s="46"/>
      <c r="Q65" s="46"/>
      <c r="R65" s="46"/>
      <c r="S65" s="46"/>
      <c r="T65" s="46"/>
      <c r="U65" s="46"/>
      <c r="V65" s="46"/>
      <c r="W65" s="46"/>
      <c r="X65" s="46"/>
      <c r="Y65" s="46"/>
      <c r="Z65" s="48"/>
    </row>
    <row r="66" spans="2:26" ht="19" x14ac:dyDescent="0.25">
      <c r="B66" s="447" t="s">
        <v>193</v>
      </c>
      <c r="C66" s="448"/>
      <c r="D66" s="448"/>
      <c r="E66" s="448"/>
      <c r="F66" s="449"/>
      <c r="G66" s="47"/>
      <c r="H66" s="47"/>
      <c r="I66" s="47"/>
      <c r="J66" s="47"/>
      <c r="K66" s="47"/>
      <c r="L66" s="47"/>
      <c r="M66" s="47"/>
      <c r="N66" s="47"/>
      <c r="O66" s="47"/>
      <c r="P66" s="47"/>
      <c r="Q66" s="47"/>
      <c r="R66" s="47"/>
      <c r="S66" s="47"/>
      <c r="T66" s="47"/>
      <c r="U66" s="47"/>
      <c r="V66" s="47"/>
      <c r="W66" s="47"/>
      <c r="X66" s="47"/>
      <c r="Y66" s="47"/>
      <c r="Z66" s="48"/>
    </row>
    <row r="67" spans="2:26" ht="15" customHeight="1" x14ac:dyDescent="0.2">
      <c r="B67" s="450" t="s">
        <v>173</v>
      </c>
      <c r="C67" s="451"/>
      <c r="D67" s="452"/>
      <c r="E67" s="125">
        <f>IF(Project_Type=2,0,IF(Inputs!D107&gt;1,( (Inputs!D107-FF_Offset)/FF_Slope),0))</f>
        <v>0</v>
      </c>
      <c r="F67" s="125">
        <f>IF(Project_Type=2,0,IF(Inputs!E107&gt;1,( (Inputs!E107-FF_Offset)/FF_Slope),0))</f>
        <v>0</v>
      </c>
      <c r="G67" s="125">
        <f>IF(Project_Type=2,0,IF(Inputs!F107&gt;1,( (Inputs!F107-FF_Offset)/FF_Slope),0))</f>
        <v>0</v>
      </c>
      <c r="H67" s="125">
        <f>IF(Project_Type=2,0,IF(Inputs!G107&gt;1,( (Inputs!G107-FF_Offset)/FF_Slope),0))</f>
        <v>0</v>
      </c>
      <c r="I67" s="125">
        <f>IF(Project_Type=2,0,IF(Inputs!H107&gt;1,( (Inputs!H107-FF_Offset)/FF_Slope),0))</f>
        <v>0</v>
      </c>
      <c r="J67" s="125">
        <f>IF(Project_Type=2,0,IF(Inputs!I107&gt;1,( (Inputs!I107-FF_Offset)/FF_Slope),0))</f>
        <v>0</v>
      </c>
      <c r="K67" s="125">
        <f>IF(Project_Type=2,0,IF(Inputs!J107&gt;1,( (Inputs!J107-FF_Offset)/FF_Slope),0))</f>
        <v>0</v>
      </c>
      <c r="L67" s="125">
        <f>IF(Project_Type=2,0,IF(Inputs!K107&gt;1,( (Inputs!K107-FF_Offset)/FF_Slope),0))</f>
        <v>0</v>
      </c>
      <c r="M67" s="125">
        <f>IF(Project_Type=2,0,IF(Inputs!L107&gt;1,( (Inputs!L107-FF_Offset)/FF_Slope),0))</f>
        <v>0</v>
      </c>
      <c r="N67" s="125">
        <f>IF(Project_Type=2,0,IF(Inputs!M107&gt;1,( (Inputs!M107-FF_Offset)/FF_Slope),0))</f>
        <v>0</v>
      </c>
      <c r="O67" s="125">
        <f>IF(Project_Type=2,0,IF(Inputs!N107&gt;1,( (Inputs!N107-FF_Offset)/FF_Slope),0))</f>
        <v>0</v>
      </c>
      <c r="P67" s="125">
        <f>IF(Project_Type=2,0,IF(Inputs!O107&gt;1,( (Inputs!O107-FF_Offset)/FF_Slope),0))</f>
        <v>0</v>
      </c>
      <c r="Q67" s="125">
        <f>IF(Project_Type=2,0,IF(Inputs!P107&gt;1,( (Inputs!P107-FF_Offset)/FF_Slope),0))</f>
        <v>0</v>
      </c>
      <c r="R67" s="125">
        <f>IF(Project_Type=2,0,IF(Inputs!Q107&gt;1,( (Inputs!Q107-FF_Offset)/FF_Slope),0))</f>
        <v>0</v>
      </c>
      <c r="S67" s="125">
        <f>IF(Project_Type=2,0,IF(Inputs!R107&gt;1,( (Inputs!R107-FF_Offset)/FF_Slope),0))</f>
        <v>0</v>
      </c>
      <c r="T67" s="125">
        <f>IF(Project_Type=2,0,IF(Inputs!S107&gt;1,( (Inputs!S107-FF_Offset)/FF_Slope),0))</f>
        <v>0</v>
      </c>
      <c r="U67" s="125">
        <f>IF(Project_Type=2,0,IF(Inputs!T107&gt;1,( (Inputs!T107-FF_Offset)/FF_Slope),0))</f>
        <v>0</v>
      </c>
      <c r="V67" s="125">
        <f>IF(Project_Type=2,0,IF(Inputs!U107&gt;1,( (Inputs!U107-FF_Offset)/FF_Slope),0))</f>
        <v>0</v>
      </c>
      <c r="W67" s="125">
        <f>IF(Project_Type=2,0,IF(Inputs!V107&gt;1,( (Inputs!V107-FF_Offset)/FF_Slope),0))</f>
        <v>0</v>
      </c>
      <c r="X67" s="125">
        <f>IF(Project_Type=2,0,IF(Inputs!W107&gt;1,( (Inputs!W107-FF_Offset)/FF_Slope),0))</f>
        <v>0</v>
      </c>
      <c r="Y67" s="125">
        <f>IF(Project_Type=2,0,IF(Inputs!X107&gt;1,( (Inputs!X107-FF_Offset)/FF_Slope),0))</f>
        <v>0</v>
      </c>
      <c r="Z67" s="10"/>
    </row>
    <row r="68" spans="2:26" ht="28.5" customHeight="1" x14ac:dyDescent="0.2">
      <c r="B68" s="450" t="s">
        <v>156</v>
      </c>
      <c r="C68" s="451"/>
      <c r="D68" s="452"/>
      <c r="E68" s="125">
        <f>E67</f>
        <v>0</v>
      </c>
      <c r="F68" s="125">
        <f t="shared" ref="F68:Y68" si="44">IF(F67&lt;1,E68+0,E68+F67)</f>
        <v>0</v>
      </c>
      <c r="G68" s="125">
        <f t="shared" si="44"/>
        <v>0</v>
      </c>
      <c r="H68" s="125">
        <f t="shared" si="44"/>
        <v>0</v>
      </c>
      <c r="I68" s="125">
        <f t="shared" si="44"/>
        <v>0</v>
      </c>
      <c r="J68" s="125">
        <f t="shared" si="44"/>
        <v>0</v>
      </c>
      <c r="K68" s="125">
        <f t="shared" si="44"/>
        <v>0</v>
      </c>
      <c r="L68" s="125">
        <f t="shared" si="44"/>
        <v>0</v>
      </c>
      <c r="M68" s="125">
        <f t="shared" si="44"/>
        <v>0</v>
      </c>
      <c r="N68" s="125">
        <f t="shared" si="44"/>
        <v>0</v>
      </c>
      <c r="O68" s="125">
        <f t="shared" si="44"/>
        <v>0</v>
      </c>
      <c r="P68" s="125">
        <f t="shared" si="44"/>
        <v>0</v>
      </c>
      <c r="Q68" s="125">
        <f t="shared" si="44"/>
        <v>0</v>
      </c>
      <c r="R68" s="125">
        <f t="shared" si="44"/>
        <v>0</v>
      </c>
      <c r="S68" s="125">
        <f t="shared" si="44"/>
        <v>0</v>
      </c>
      <c r="T68" s="125">
        <f t="shared" si="44"/>
        <v>0</v>
      </c>
      <c r="U68" s="125">
        <f t="shared" si="44"/>
        <v>0</v>
      </c>
      <c r="V68" s="125">
        <f t="shared" si="44"/>
        <v>0</v>
      </c>
      <c r="W68" s="125">
        <f t="shared" si="44"/>
        <v>0</v>
      </c>
      <c r="X68" s="125">
        <f t="shared" si="44"/>
        <v>0</v>
      </c>
      <c r="Y68" s="125">
        <f t="shared" si="44"/>
        <v>0</v>
      </c>
    </row>
    <row r="69" spans="2:26" ht="14.25" customHeight="1" x14ac:dyDescent="0.2">
      <c r="B69" s="326" t="s">
        <v>153</v>
      </c>
      <c r="C69" s="453"/>
      <c r="D69" s="327"/>
      <c r="E69" s="85">
        <f>SUM('Vehicle &amp; Station Calculations'!E20:E26)</f>
        <v>0</v>
      </c>
      <c r="F69" s="85">
        <f>SUM('Vehicle &amp; Station Calculations'!F20:F26)</f>
        <v>0</v>
      </c>
      <c r="G69" s="85">
        <f>SUM('Vehicle &amp; Station Calculations'!G20:G26)</f>
        <v>0</v>
      </c>
      <c r="H69" s="85">
        <f>SUM('Vehicle &amp; Station Calculations'!H20:H26)</f>
        <v>0</v>
      </c>
      <c r="I69" s="85">
        <f>SUM('Vehicle &amp; Station Calculations'!I20:I26)</f>
        <v>0</v>
      </c>
      <c r="J69" s="85">
        <f>SUM('Vehicle &amp; Station Calculations'!J20:J26)</f>
        <v>0</v>
      </c>
      <c r="K69" s="85">
        <f>SUM('Vehicle &amp; Station Calculations'!K20:K26)</f>
        <v>0</v>
      </c>
      <c r="L69" s="85">
        <f>SUM('Vehicle &amp; Station Calculations'!L20:L26)</f>
        <v>0</v>
      </c>
      <c r="M69" s="85">
        <f>SUM('Vehicle &amp; Station Calculations'!M20:M26)</f>
        <v>0</v>
      </c>
      <c r="N69" s="85">
        <f>SUM('Vehicle &amp; Station Calculations'!N20:N26)</f>
        <v>0</v>
      </c>
      <c r="O69" s="85">
        <f>SUM('Vehicle &amp; Station Calculations'!O20:O26)</f>
        <v>0</v>
      </c>
      <c r="P69" s="85">
        <f>SUM('Vehicle &amp; Station Calculations'!P20:P26)</f>
        <v>0</v>
      </c>
      <c r="Q69" s="85">
        <f>SUM('Vehicle &amp; Station Calculations'!Q20:Q26)</f>
        <v>0</v>
      </c>
      <c r="R69" s="85">
        <f>SUM('Vehicle &amp; Station Calculations'!R20:R26)</f>
        <v>0</v>
      </c>
      <c r="S69" s="85">
        <f>SUM('Vehicle &amp; Station Calculations'!S20:S26)</f>
        <v>0</v>
      </c>
      <c r="T69" s="85">
        <f>SUM('Vehicle &amp; Station Calculations'!T20:T26)</f>
        <v>0</v>
      </c>
      <c r="U69" s="85">
        <f>SUM('Vehicle &amp; Station Calculations'!U20:U26)</f>
        <v>0</v>
      </c>
      <c r="V69" s="85">
        <f>SUM('Vehicle &amp; Station Calculations'!V20:V26)</f>
        <v>0</v>
      </c>
      <c r="W69" s="85">
        <f>SUM('Vehicle &amp; Station Calculations'!W20:W26)</f>
        <v>0</v>
      </c>
      <c r="X69" s="85">
        <f>SUM('Vehicle &amp; Station Calculations'!X20:X26)</f>
        <v>0</v>
      </c>
      <c r="Y69" s="85">
        <f>SUM('Vehicle &amp; Station Calculations'!Y20:Y26)</f>
        <v>0</v>
      </c>
    </row>
    <row r="70" spans="2:26" ht="15.75" customHeight="1" x14ac:dyDescent="0.2">
      <c r="B70" s="477" t="s">
        <v>155</v>
      </c>
      <c r="C70" s="478"/>
      <c r="D70" s="479"/>
      <c r="E70" s="132">
        <f t="shared" ref="E70:Y70" si="45">E59</f>
        <v>0</v>
      </c>
      <c r="F70" s="132">
        <f t="shared" si="45"/>
        <v>0</v>
      </c>
      <c r="G70" s="132">
        <f t="shared" si="45"/>
        <v>0</v>
      </c>
      <c r="H70" s="132">
        <f t="shared" si="45"/>
        <v>0</v>
      </c>
      <c r="I70" s="132">
        <f t="shared" si="45"/>
        <v>0</v>
      </c>
      <c r="J70" s="132">
        <f t="shared" si="45"/>
        <v>0</v>
      </c>
      <c r="K70" s="132">
        <f t="shared" si="45"/>
        <v>0</v>
      </c>
      <c r="L70" s="132">
        <f t="shared" si="45"/>
        <v>0</v>
      </c>
      <c r="M70" s="132">
        <f t="shared" si="45"/>
        <v>0</v>
      </c>
      <c r="N70" s="132">
        <f t="shared" si="45"/>
        <v>0</v>
      </c>
      <c r="O70" s="132">
        <f t="shared" si="45"/>
        <v>0</v>
      </c>
      <c r="P70" s="132">
        <f t="shared" si="45"/>
        <v>0</v>
      </c>
      <c r="Q70" s="132">
        <f t="shared" si="45"/>
        <v>0</v>
      </c>
      <c r="R70" s="132">
        <f t="shared" si="45"/>
        <v>0</v>
      </c>
      <c r="S70" s="132">
        <f t="shared" si="45"/>
        <v>0</v>
      </c>
      <c r="T70" s="132">
        <f t="shared" si="45"/>
        <v>0</v>
      </c>
      <c r="U70" s="132">
        <f t="shared" si="45"/>
        <v>0</v>
      </c>
      <c r="V70" s="132">
        <f t="shared" si="45"/>
        <v>0</v>
      </c>
      <c r="W70" s="132">
        <f t="shared" si="45"/>
        <v>0</v>
      </c>
      <c r="X70" s="132">
        <f t="shared" si="45"/>
        <v>0</v>
      </c>
      <c r="Y70" s="132">
        <f t="shared" si="45"/>
        <v>0</v>
      </c>
      <c r="Z70" s="231"/>
    </row>
    <row r="71" spans="2:26" ht="16" x14ac:dyDescent="0.2">
      <c r="B71" s="90"/>
      <c r="C71" s="90"/>
      <c r="D71" s="92"/>
      <c r="E71" s="92"/>
      <c r="F71" s="92"/>
      <c r="G71" s="92"/>
      <c r="H71" s="92"/>
      <c r="I71" s="92"/>
      <c r="J71" s="92"/>
      <c r="K71" s="92"/>
      <c r="L71" s="92"/>
      <c r="M71" s="92"/>
      <c r="N71" s="92"/>
      <c r="O71" s="92"/>
      <c r="P71" s="92"/>
      <c r="Q71" s="92"/>
      <c r="R71" s="92"/>
      <c r="S71" s="92"/>
      <c r="T71" s="92"/>
      <c r="U71" s="92"/>
      <c r="V71" s="92"/>
      <c r="W71" s="92"/>
      <c r="X71" s="92"/>
      <c r="Y71" s="48"/>
      <c r="Z71" s="45"/>
    </row>
    <row r="72" spans="2:26" ht="19" x14ac:dyDescent="0.25">
      <c r="B72" s="447" t="s">
        <v>158</v>
      </c>
      <c r="C72" s="448"/>
      <c r="D72" s="448"/>
      <c r="E72" s="448"/>
      <c r="F72" s="449"/>
      <c r="G72" s="47"/>
      <c r="H72" s="47"/>
      <c r="I72" s="47"/>
      <c r="J72" s="47"/>
      <c r="K72" s="47"/>
      <c r="L72" s="47"/>
      <c r="M72" s="47"/>
      <c r="N72" s="47"/>
      <c r="O72" s="47"/>
      <c r="P72" s="47"/>
      <c r="Q72" s="47"/>
      <c r="R72" s="47"/>
      <c r="S72" s="47"/>
      <c r="T72" s="47"/>
      <c r="U72" s="47"/>
      <c r="V72" s="47"/>
      <c r="W72" s="47"/>
      <c r="X72" s="47"/>
      <c r="Y72" s="10"/>
      <c r="Z72" s="10"/>
    </row>
    <row r="73" spans="2:26" x14ac:dyDescent="0.2">
      <c r="B73" s="477" t="s">
        <v>157</v>
      </c>
      <c r="C73" s="478"/>
      <c r="D73" s="479"/>
      <c r="E73" s="125">
        <f>IF(Project_Type=2,0, IF(Invest_Type=1,'Vehicle &amp; Station Calculations'!E61,'Vehicle &amp; Station Calculations'!E68))</f>
        <v>0</v>
      </c>
      <c r="F73" s="125">
        <f>IF(Project_Type=2,0, IF(Invest_Type=1,'Vehicle &amp; Station Calculations'!F61,'Vehicle &amp; Station Calculations'!F68))</f>
        <v>0</v>
      </c>
      <c r="G73" s="125">
        <f>IF(Project_Type=2,0, IF(Invest_Type=1,'Vehicle &amp; Station Calculations'!G61,'Vehicle &amp; Station Calculations'!G68))</f>
        <v>0</v>
      </c>
      <c r="H73" s="125">
        <f>IF(Project_Type=2,0, IF(Invest_Type=1,'Vehicle &amp; Station Calculations'!H61,'Vehicle &amp; Station Calculations'!H68))</f>
        <v>0</v>
      </c>
      <c r="I73" s="125">
        <f>IF(Project_Type=2,0, IF(Invest_Type=1,'Vehicle &amp; Station Calculations'!I61,'Vehicle &amp; Station Calculations'!I68))</f>
        <v>0</v>
      </c>
      <c r="J73" s="125">
        <f>IF(Project_Type=2,0, IF(Invest_Type=1,'Vehicle &amp; Station Calculations'!J61,'Vehicle &amp; Station Calculations'!J68))</f>
        <v>0</v>
      </c>
      <c r="K73" s="125">
        <f>IF(Project_Type=2,0, IF(Invest_Type=1,'Vehicle &amp; Station Calculations'!K61,'Vehicle &amp; Station Calculations'!K68))</f>
        <v>0</v>
      </c>
      <c r="L73" s="125">
        <f>IF(Project_Type=2,0, IF(Invest_Type=1,'Vehicle &amp; Station Calculations'!L61,'Vehicle &amp; Station Calculations'!L68))</f>
        <v>0</v>
      </c>
      <c r="M73" s="125">
        <f>IF(Project_Type=2,0, IF(Invest_Type=1,'Vehicle &amp; Station Calculations'!M61,'Vehicle &amp; Station Calculations'!M68))</f>
        <v>0</v>
      </c>
      <c r="N73" s="125">
        <f>IF(Project_Type=2,0, IF(Invest_Type=1,'Vehicle &amp; Station Calculations'!N61,'Vehicle &amp; Station Calculations'!N68))</f>
        <v>0</v>
      </c>
      <c r="O73" s="125">
        <f>IF(Project_Type=2,0, IF(Invest_Type=1,'Vehicle &amp; Station Calculations'!O61,'Vehicle &amp; Station Calculations'!O68))</f>
        <v>0</v>
      </c>
      <c r="P73" s="125">
        <f>IF(Project_Type=2,0, IF(Invest_Type=1,'Vehicle &amp; Station Calculations'!P61,'Vehicle &amp; Station Calculations'!P68))</f>
        <v>0</v>
      </c>
      <c r="Q73" s="125">
        <f>IF(Project_Type=2,0, IF(Invest_Type=1,'Vehicle &amp; Station Calculations'!Q61,'Vehicle &amp; Station Calculations'!Q68))</f>
        <v>0</v>
      </c>
      <c r="R73" s="125">
        <f>IF(Project_Type=2,0, IF(Invest_Type=1,'Vehicle &amp; Station Calculations'!R61,'Vehicle &amp; Station Calculations'!R68))</f>
        <v>0</v>
      </c>
      <c r="S73" s="125">
        <f>IF(Project_Type=2,0, IF(Invest_Type=1,'Vehicle &amp; Station Calculations'!S61,'Vehicle &amp; Station Calculations'!S68))</f>
        <v>0</v>
      </c>
      <c r="T73" s="125">
        <f>IF(Project_Type=2,0, IF(Invest_Type=1,'Vehicle &amp; Station Calculations'!T61,'Vehicle &amp; Station Calculations'!T68))</f>
        <v>0</v>
      </c>
      <c r="U73" s="125">
        <f>IF(Project_Type=2,0, IF(Invest_Type=1,'Vehicle &amp; Station Calculations'!U61,'Vehicle &amp; Station Calculations'!U68))</f>
        <v>0</v>
      </c>
      <c r="V73" s="125">
        <f>IF(Project_Type=2,0, IF(Invest_Type=1,'Vehicle &amp; Station Calculations'!V61,'Vehicle &amp; Station Calculations'!V68))</f>
        <v>0</v>
      </c>
      <c r="W73" s="125">
        <f>IF(Project_Type=2,0, IF(Invest_Type=1,'Vehicle &amp; Station Calculations'!W61,'Vehicle &amp; Station Calculations'!W68))</f>
        <v>0</v>
      </c>
      <c r="X73" s="125">
        <f>IF(Project_Type=2,0, IF(Invest_Type=1,'Vehicle &amp; Station Calculations'!X61,'Vehicle &amp; Station Calculations'!X68))</f>
        <v>0</v>
      </c>
      <c r="Y73" s="125">
        <f>IF(Project_Type=2,0, IF(Invest_Type=1,'Vehicle &amp; Station Calculations'!Y61,'Vehicle &amp; Station Calculations'!Y68))</f>
        <v>0</v>
      </c>
      <c r="Z73" s="231"/>
    </row>
    <row r="74" spans="2:26" ht="16" x14ac:dyDescent="0.2">
      <c r="B74" s="483" t="s">
        <v>154</v>
      </c>
      <c r="C74" s="484"/>
      <c r="D74" s="485"/>
      <c r="E74" s="89">
        <f>IF(Invest_Type=1,('Vehicle &amp; Station Calculations'!E61-'Vehicle &amp; Station Calculations'!E59),('Vehicle &amp; Station Calculations'!E59-'Vehicle &amp; Station Calculations'!E68))</f>
        <v>0</v>
      </c>
      <c r="F74" s="89">
        <f>IF(Invest_Type=1,('Vehicle &amp; Station Calculations'!F61-'Vehicle &amp; Station Calculations'!F59),('Vehicle &amp; Station Calculations'!F59-'Vehicle &amp; Station Calculations'!F68))</f>
        <v>0</v>
      </c>
      <c r="G74" s="89">
        <f>IF(Invest_Type=1,('Vehicle &amp; Station Calculations'!G61-'Vehicle &amp; Station Calculations'!G59),('Vehicle &amp; Station Calculations'!G59-'Vehicle &amp; Station Calculations'!G68))</f>
        <v>0</v>
      </c>
      <c r="H74" s="89">
        <f>IF(Invest_Type=1,('Vehicle &amp; Station Calculations'!H61-'Vehicle &amp; Station Calculations'!H59),('Vehicle &amp; Station Calculations'!H59-'Vehicle &amp; Station Calculations'!H68))</f>
        <v>0</v>
      </c>
      <c r="I74" s="89">
        <f>IF(Invest_Type=1,('Vehicle &amp; Station Calculations'!I61-'Vehicle &amp; Station Calculations'!I59),('Vehicle &amp; Station Calculations'!I59-'Vehicle &amp; Station Calculations'!I68))</f>
        <v>0</v>
      </c>
      <c r="J74" s="89">
        <f>IF(Invest_Type=1,('Vehicle &amp; Station Calculations'!J61-'Vehicle &amp; Station Calculations'!J59),('Vehicle &amp; Station Calculations'!J59-'Vehicle &amp; Station Calculations'!J68))</f>
        <v>0</v>
      </c>
      <c r="K74" s="89">
        <f>IF(Invest_Type=1,('Vehicle &amp; Station Calculations'!K61-'Vehicle &amp; Station Calculations'!K59),('Vehicle &amp; Station Calculations'!K59-'Vehicle &amp; Station Calculations'!K68))</f>
        <v>0</v>
      </c>
      <c r="L74" s="89">
        <f>IF(Invest_Type=1,('Vehicle &amp; Station Calculations'!L61-'Vehicle &amp; Station Calculations'!L59),('Vehicle &amp; Station Calculations'!L59-'Vehicle &amp; Station Calculations'!L68))</f>
        <v>0</v>
      </c>
      <c r="M74" s="89">
        <f>IF(Invest_Type=1,('Vehicle &amp; Station Calculations'!M61-'Vehicle &amp; Station Calculations'!M59),('Vehicle &amp; Station Calculations'!M59-'Vehicle &amp; Station Calculations'!M68))</f>
        <v>0</v>
      </c>
      <c r="N74" s="89">
        <f>IF(Invest_Type=1,('Vehicle &amp; Station Calculations'!N61-'Vehicle &amp; Station Calculations'!N59),('Vehicle &amp; Station Calculations'!N59-'Vehicle &amp; Station Calculations'!N68))</f>
        <v>0</v>
      </c>
      <c r="O74" s="89">
        <f>IF(Invest_Type=1,('Vehicle &amp; Station Calculations'!O61-'Vehicle &amp; Station Calculations'!O59),('Vehicle &amp; Station Calculations'!O59-'Vehicle &amp; Station Calculations'!O68))</f>
        <v>0</v>
      </c>
      <c r="P74" s="89">
        <f>IF(Invest_Type=1,('Vehicle &amp; Station Calculations'!P61-'Vehicle &amp; Station Calculations'!P59),('Vehicle &amp; Station Calculations'!P59-'Vehicle &amp; Station Calculations'!P68))</f>
        <v>0</v>
      </c>
      <c r="Q74" s="89">
        <f>IF(Invest_Type=1,('Vehicle &amp; Station Calculations'!Q61-'Vehicle &amp; Station Calculations'!Q59),('Vehicle &amp; Station Calculations'!Q59-'Vehicle &amp; Station Calculations'!Q68))</f>
        <v>0</v>
      </c>
      <c r="R74" s="89">
        <f>IF(Invest_Type=1,('Vehicle &amp; Station Calculations'!R61-'Vehicle &amp; Station Calculations'!R59),('Vehicle &amp; Station Calculations'!R59-'Vehicle &amp; Station Calculations'!R68))</f>
        <v>0</v>
      </c>
      <c r="S74" s="89">
        <f>IF(Invest_Type=1,('Vehicle &amp; Station Calculations'!S61-'Vehicle &amp; Station Calculations'!S59),('Vehicle &amp; Station Calculations'!S59-'Vehicle &amp; Station Calculations'!S68))</f>
        <v>0</v>
      </c>
      <c r="T74" s="89">
        <f>IF(Invest_Type=1,('Vehicle &amp; Station Calculations'!T61-'Vehicle &amp; Station Calculations'!T59),('Vehicle &amp; Station Calculations'!T59-'Vehicle &amp; Station Calculations'!T68))</f>
        <v>0</v>
      </c>
      <c r="U74" s="89">
        <f>IF(Invest_Type=1,('Vehicle &amp; Station Calculations'!U61-'Vehicle &amp; Station Calculations'!U59),('Vehicle &amp; Station Calculations'!U59-'Vehicle &amp; Station Calculations'!U68))</f>
        <v>0</v>
      </c>
      <c r="V74" s="89">
        <f>IF(Invest_Type=1,('Vehicle &amp; Station Calculations'!V61-'Vehicle &amp; Station Calculations'!V59),('Vehicle &amp; Station Calculations'!V59-'Vehicle &amp; Station Calculations'!V68))</f>
        <v>0</v>
      </c>
      <c r="W74" s="89">
        <f>IF(Invest_Type=1,('Vehicle &amp; Station Calculations'!W61-'Vehicle &amp; Station Calculations'!W59),('Vehicle &amp; Station Calculations'!W59-'Vehicle &amp; Station Calculations'!W68))</f>
        <v>0</v>
      </c>
      <c r="X74" s="89">
        <f>IF(Invest_Type=1,('Vehicle &amp; Station Calculations'!X61-'Vehicle &amp; Station Calculations'!X59),('Vehicle &amp; Station Calculations'!X59-'Vehicle &amp; Station Calculations'!X68))</f>
        <v>0</v>
      </c>
      <c r="Y74" s="89">
        <f>IF(Invest_Type=1,('Vehicle &amp; Station Calculations'!Y61-'Vehicle &amp; Station Calculations'!Y59),('Vehicle &amp; Station Calculations'!Y59-'Vehicle &amp; Station Calculations'!Y68))</f>
        <v>0</v>
      </c>
    </row>
    <row r="75" spans="2:26" ht="18" customHeight="1" x14ac:dyDescent="0.2">
      <c r="B75" s="326" t="s">
        <v>151</v>
      </c>
      <c r="C75" s="453"/>
      <c r="D75" s="327"/>
      <c r="E75" s="89">
        <f>IF(Project_Type=2,0, IF(Invest_Type=1,'Vehicle &amp; Station Calculations'!E63,Inputs!D107))</f>
        <v>0</v>
      </c>
      <c r="F75" s="89">
        <f>IF(Project_Type=2,0, IF(Invest_Type=1,'Vehicle &amp; Station Calculations'!F63,Inputs!E107))</f>
        <v>0</v>
      </c>
      <c r="G75" s="89">
        <f>IF(Project_Type=2,0, IF(Invest_Type=1,'Vehicle &amp; Station Calculations'!G63,Inputs!F107))</f>
        <v>0</v>
      </c>
      <c r="H75" s="89">
        <f>IF(Project_Type=2,0, IF(Invest_Type=1,'Vehicle &amp; Station Calculations'!H63,Inputs!G107))</f>
        <v>0</v>
      </c>
      <c r="I75" s="89">
        <f>IF(Project_Type=2,0, IF(Invest_Type=1,'Vehicle &amp; Station Calculations'!I63,Inputs!H107))</f>
        <v>0</v>
      </c>
      <c r="J75" s="89">
        <f>IF(Project_Type=2,0, IF(Invest_Type=1,'Vehicle &amp; Station Calculations'!J63,Inputs!I107))</f>
        <v>0</v>
      </c>
      <c r="K75" s="89">
        <f>IF(Project_Type=2,0, IF(Invest_Type=1,'Vehicle &amp; Station Calculations'!K63,Inputs!J107))</f>
        <v>0</v>
      </c>
      <c r="L75" s="89">
        <f>IF(Project_Type=2,0, IF(Invest_Type=1,'Vehicle &amp; Station Calculations'!L63,Inputs!K107))</f>
        <v>0</v>
      </c>
      <c r="M75" s="89">
        <f>IF(Project_Type=2,0, IF(Invest_Type=1,'Vehicle &amp; Station Calculations'!M63,Inputs!L107))</f>
        <v>0</v>
      </c>
      <c r="N75" s="89">
        <f>IF(Project_Type=2,0, IF(Invest_Type=1,'Vehicle &amp; Station Calculations'!N63,Inputs!M107))</f>
        <v>0</v>
      </c>
      <c r="O75" s="89">
        <f>IF(Project_Type=2,0, IF(Invest_Type=1,'Vehicle &amp; Station Calculations'!O63,Inputs!N107))</f>
        <v>0</v>
      </c>
      <c r="P75" s="89">
        <f>IF(Project_Type=2,0, IF(Invest_Type=1,'Vehicle &amp; Station Calculations'!P63,Inputs!O107))</f>
        <v>0</v>
      </c>
      <c r="Q75" s="89">
        <f>IF(Project_Type=2,0, IF(Invest_Type=1,'Vehicle &amp; Station Calculations'!Q63,Inputs!P107))</f>
        <v>0</v>
      </c>
      <c r="R75" s="89">
        <f>IF(Project_Type=2,0, IF(Invest_Type=1,'Vehicle &amp; Station Calculations'!R63,Inputs!Q107))</f>
        <v>0</v>
      </c>
      <c r="S75" s="89">
        <f>IF(Project_Type=2,0, IF(Invest_Type=1,'Vehicle &amp; Station Calculations'!S63,Inputs!R107))</f>
        <v>0</v>
      </c>
      <c r="T75" s="89">
        <f>IF(Project_Type=2,0, IF(Invest_Type=1,'Vehicle &amp; Station Calculations'!T63,Inputs!S107))</f>
        <v>0</v>
      </c>
      <c r="U75" s="89">
        <f>IF(Project_Type=2,0, IF(Invest_Type=1,'Vehicle &amp; Station Calculations'!U63,Inputs!T107))</f>
        <v>0</v>
      </c>
      <c r="V75" s="89">
        <f>IF(Project_Type=2,0, IF(Invest_Type=1,'Vehicle &amp; Station Calculations'!V63,Inputs!U107))</f>
        <v>0</v>
      </c>
      <c r="W75" s="89">
        <f>IF(Project_Type=2,0, IF(Invest_Type=1,'Vehicle &amp; Station Calculations'!W63,Inputs!V107))</f>
        <v>0</v>
      </c>
      <c r="X75" s="89">
        <f>IF(Project_Type=2,0, IF(Invest_Type=1,'Vehicle &amp; Station Calculations'!X63,Inputs!W107))</f>
        <v>0</v>
      </c>
      <c r="Y75" s="89">
        <f>IF(Project_Type=2,0, IF(Invest_Type=1,'Vehicle &amp; Station Calculations'!Y63,Inputs!X107))</f>
        <v>0</v>
      </c>
      <c r="Z75" s="48"/>
    </row>
    <row r="76" spans="2:26" ht="15" customHeight="1" x14ac:dyDescent="0.2">
      <c r="B76" s="49"/>
      <c r="C76" s="49"/>
      <c r="D76" s="49"/>
      <c r="E76" s="10"/>
      <c r="F76" s="10"/>
      <c r="G76" s="10"/>
      <c r="H76" s="10"/>
      <c r="I76" s="10"/>
      <c r="J76" s="10"/>
      <c r="K76" s="10"/>
      <c r="L76" s="10"/>
      <c r="M76" s="10"/>
      <c r="N76" s="10"/>
      <c r="O76" s="10"/>
      <c r="P76" s="10"/>
      <c r="Q76" s="10"/>
      <c r="R76" s="10"/>
      <c r="S76" s="10"/>
      <c r="T76" s="10"/>
      <c r="U76" s="10"/>
      <c r="V76" s="10"/>
      <c r="W76" s="10"/>
      <c r="X76" s="10"/>
      <c r="Y76" s="47"/>
      <c r="Z76" s="48"/>
    </row>
    <row r="77" spans="2:26" x14ac:dyDescent="0.2">
      <c r="F77" s="46"/>
      <c r="G77" s="46"/>
      <c r="H77" s="46"/>
      <c r="I77" s="46"/>
      <c r="J77" s="46"/>
      <c r="K77" s="46"/>
      <c r="L77" s="46"/>
      <c r="M77" s="46"/>
      <c r="N77" s="46"/>
      <c r="O77" s="46"/>
      <c r="P77" s="46"/>
      <c r="Q77" s="46"/>
      <c r="R77" s="46"/>
      <c r="S77" s="46"/>
      <c r="T77" s="46"/>
      <c r="U77" s="46"/>
      <c r="V77" s="46"/>
      <c r="W77" s="46"/>
      <c r="X77" s="46"/>
      <c r="Y77" s="48"/>
      <c r="Z77" s="48"/>
    </row>
    <row r="78" spans="2:26" x14ac:dyDescent="0.2">
      <c r="F78" s="47"/>
      <c r="G78" s="47"/>
      <c r="H78" s="47"/>
      <c r="I78" s="47"/>
      <c r="J78" s="47"/>
      <c r="K78" s="47"/>
      <c r="L78" s="47"/>
      <c r="M78" s="47"/>
      <c r="N78" s="47"/>
      <c r="O78" s="47"/>
      <c r="P78" s="47"/>
      <c r="Q78" s="47"/>
      <c r="R78" s="47"/>
      <c r="S78" s="47"/>
      <c r="T78" s="47"/>
      <c r="U78" s="47"/>
      <c r="V78" s="47"/>
      <c r="W78" s="47"/>
      <c r="X78" s="47"/>
      <c r="Y78" s="48"/>
      <c r="Z78" s="48"/>
    </row>
    <row r="79" spans="2:26" x14ac:dyDescent="0.2">
      <c r="F79" s="48"/>
      <c r="G79" s="48"/>
      <c r="H79" s="48"/>
      <c r="I79" s="48"/>
      <c r="J79" s="48"/>
      <c r="K79" s="48"/>
      <c r="L79" s="48"/>
      <c r="M79" s="48"/>
      <c r="N79" s="48"/>
      <c r="O79" s="48"/>
      <c r="P79" s="48"/>
      <c r="Q79" s="48"/>
      <c r="R79" s="48"/>
      <c r="S79" s="48"/>
      <c r="T79" s="48"/>
      <c r="U79" s="48"/>
      <c r="V79" s="48"/>
      <c r="W79" s="48"/>
      <c r="X79" s="48"/>
      <c r="Y79" s="48"/>
    </row>
    <row r="80" spans="2:26" x14ac:dyDescent="0.2">
      <c r="F80" s="48"/>
      <c r="G80" s="48"/>
      <c r="H80" s="48"/>
      <c r="I80" s="48"/>
      <c r="J80" s="48"/>
      <c r="K80" s="48"/>
      <c r="L80" s="48"/>
      <c r="M80" s="48"/>
      <c r="N80" s="48"/>
      <c r="O80" s="48"/>
      <c r="P80" s="48"/>
      <c r="Q80" s="48"/>
      <c r="R80" s="48"/>
      <c r="S80" s="48"/>
      <c r="T80" s="48"/>
      <c r="U80" s="48"/>
      <c r="V80" s="48"/>
      <c r="W80" s="48"/>
      <c r="X80" s="48"/>
      <c r="Y80" s="47"/>
    </row>
    <row r="81" spans="6:26" x14ac:dyDescent="0.2">
      <c r="F81" s="48"/>
      <c r="G81" s="48"/>
      <c r="H81" s="48"/>
      <c r="I81" s="48"/>
      <c r="J81" s="48"/>
      <c r="K81" s="48"/>
      <c r="L81" s="48"/>
      <c r="M81" s="48"/>
      <c r="N81" s="48"/>
      <c r="O81" s="48"/>
      <c r="P81" s="48"/>
      <c r="Q81" s="48"/>
      <c r="R81" s="48"/>
      <c r="S81" s="48"/>
      <c r="T81" s="48"/>
      <c r="U81" s="48"/>
      <c r="V81" s="48"/>
      <c r="W81" s="48"/>
      <c r="X81" s="48"/>
      <c r="Y81" s="48"/>
    </row>
    <row r="82" spans="6:26" ht="16" x14ac:dyDescent="0.2">
      <c r="F82" s="47"/>
      <c r="G82" s="47"/>
      <c r="H82" s="47"/>
      <c r="I82" s="47"/>
      <c r="J82" s="47"/>
      <c r="K82" s="47"/>
      <c r="L82" s="47"/>
      <c r="M82" s="47"/>
      <c r="N82" s="47"/>
      <c r="O82" s="47"/>
      <c r="P82" s="47"/>
      <c r="Q82" s="47"/>
      <c r="R82" s="47"/>
      <c r="S82" s="47"/>
      <c r="T82" s="47"/>
      <c r="U82" s="47"/>
      <c r="V82" s="47"/>
      <c r="W82" s="47"/>
      <c r="X82" s="47"/>
      <c r="Y82" s="47"/>
      <c r="Z82" s="45"/>
    </row>
    <row r="83" spans="6:26" x14ac:dyDescent="0.2">
      <c r="F83" s="48"/>
      <c r="G83" s="48"/>
      <c r="H83" s="48"/>
      <c r="I83" s="48"/>
      <c r="J83" s="48"/>
      <c r="K83" s="48"/>
      <c r="L83" s="48"/>
      <c r="M83" s="48"/>
      <c r="N83" s="48"/>
      <c r="O83" s="48"/>
      <c r="P83" s="48"/>
      <c r="Q83" s="48"/>
      <c r="R83" s="48"/>
      <c r="S83" s="48"/>
      <c r="T83" s="48"/>
      <c r="U83" s="48"/>
      <c r="V83" s="48"/>
      <c r="W83" s="48"/>
      <c r="X83" s="48"/>
      <c r="Y83" s="48"/>
      <c r="Z83" s="10"/>
    </row>
    <row r="84" spans="6:26" x14ac:dyDescent="0.2">
      <c r="F84" s="47"/>
      <c r="G84" s="47"/>
      <c r="H84" s="47"/>
      <c r="I84" s="47"/>
      <c r="J84" s="47"/>
      <c r="K84" s="47"/>
      <c r="L84" s="47"/>
      <c r="M84" s="47"/>
      <c r="N84" s="47"/>
      <c r="O84" s="47"/>
      <c r="P84" s="47"/>
      <c r="Q84" s="47"/>
      <c r="R84" s="47"/>
      <c r="S84" s="47"/>
      <c r="T84" s="47"/>
      <c r="U84" s="47"/>
      <c r="V84" s="47"/>
      <c r="W84" s="47"/>
      <c r="X84" s="47"/>
      <c r="Y84" s="10"/>
      <c r="Z84" s="46"/>
    </row>
    <row r="85" spans="6:26" x14ac:dyDescent="0.2">
      <c r="F85" s="48"/>
      <c r="G85" s="48"/>
      <c r="H85" s="48"/>
      <c r="I85" s="48"/>
      <c r="J85" s="48"/>
      <c r="K85" s="48"/>
      <c r="L85" s="48"/>
      <c r="M85" s="48"/>
      <c r="N85" s="48"/>
      <c r="O85" s="48"/>
      <c r="P85" s="48"/>
      <c r="Q85" s="48"/>
      <c r="R85" s="48"/>
      <c r="S85" s="48"/>
      <c r="T85" s="48"/>
      <c r="U85" s="48"/>
      <c r="V85" s="48"/>
      <c r="W85" s="48"/>
      <c r="X85" s="48"/>
    </row>
    <row r="86" spans="6:26" x14ac:dyDescent="0.2">
      <c r="F86" s="10"/>
      <c r="G86" s="10"/>
      <c r="H86" s="10"/>
      <c r="I86" s="10"/>
      <c r="J86" s="10"/>
      <c r="K86" s="10"/>
      <c r="L86" s="10"/>
      <c r="M86" s="10"/>
      <c r="N86" s="10"/>
      <c r="O86" s="10"/>
      <c r="P86" s="10"/>
      <c r="Q86" s="10"/>
      <c r="R86" s="10"/>
      <c r="S86" s="10"/>
      <c r="T86" s="10"/>
      <c r="U86" s="10"/>
      <c r="V86" s="10"/>
      <c r="W86" s="10"/>
      <c r="X86" s="10"/>
    </row>
  </sheetData>
  <mergeCells count="62">
    <mergeCell ref="B75:D75"/>
    <mergeCell ref="B70:D70"/>
    <mergeCell ref="B63:D63"/>
    <mergeCell ref="B73:D73"/>
    <mergeCell ref="B74:D74"/>
    <mergeCell ref="B11:D11"/>
    <mergeCell ref="B6:D6"/>
    <mergeCell ref="B4:K5"/>
    <mergeCell ref="B10:D10"/>
    <mergeCell ref="B14:D14"/>
    <mergeCell ref="B9:D9"/>
    <mergeCell ref="B8:D8"/>
    <mergeCell ref="B7:D7"/>
    <mergeCell ref="B16:D16"/>
    <mergeCell ref="B17:D17"/>
    <mergeCell ref="B12:D12"/>
    <mergeCell ref="B13:D13"/>
    <mergeCell ref="B15:D15"/>
    <mergeCell ref="B47:D47"/>
    <mergeCell ref="B48:D48"/>
    <mergeCell ref="B61:D61"/>
    <mergeCell ref="B20:D20"/>
    <mergeCell ref="B21:D21"/>
    <mergeCell ref="B22:D22"/>
    <mergeCell ref="B23:D23"/>
    <mergeCell ref="B24:D24"/>
    <mergeCell ref="B25:D25"/>
    <mergeCell ref="B46:X46"/>
    <mergeCell ref="B49:D49"/>
    <mergeCell ref="B50:D50"/>
    <mergeCell ref="B51:D51"/>
    <mergeCell ref="B52:D52"/>
    <mergeCell ref="B54:D54"/>
    <mergeCell ref="B53:D53"/>
    <mergeCell ref="B55:D55"/>
    <mergeCell ref="B66:F66"/>
    <mergeCell ref="B72:F72"/>
    <mergeCell ref="B67:D67"/>
    <mergeCell ref="B68:D68"/>
    <mergeCell ref="B69:D69"/>
    <mergeCell ref="B58:X58"/>
    <mergeCell ref="B60:D60"/>
    <mergeCell ref="C56:D56"/>
    <mergeCell ref="B59:D59"/>
    <mergeCell ref="B62:D62"/>
    <mergeCell ref="B26:D26"/>
    <mergeCell ref="B29:D29"/>
    <mergeCell ref="B30:D30"/>
    <mergeCell ref="B31:D31"/>
    <mergeCell ref="B32:D32"/>
    <mergeCell ref="B33:D33"/>
    <mergeCell ref="B34:D34"/>
    <mergeCell ref="B35:D35"/>
    <mergeCell ref="B36:D36"/>
    <mergeCell ref="B37:D37"/>
    <mergeCell ref="B43:D43"/>
    <mergeCell ref="B44:D44"/>
    <mergeCell ref="B38:D38"/>
    <mergeCell ref="B39:D39"/>
    <mergeCell ref="B40:D40"/>
    <mergeCell ref="B41:D41"/>
    <mergeCell ref="B42:D42"/>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2"/>
  <sheetViews>
    <sheetView showGridLines="0" workbookViewId="0"/>
  </sheetViews>
  <sheetFormatPr baseColWidth="10" defaultColWidth="8.83203125" defaultRowHeight="15" x14ac:dyDescent="0.2"/>
  <cols>
    <col min="1" max="1" width="3.5" customWidth="1"/>
    <col min="2" max="2" width="28.83203125" customWidth="1"/>
    <col min="3" max="3" width="12.5" customWidth="1"/>
    <col min="4" max="4" width="12.33203125" customWidth="1"/>
    <col min="5" max="25" width="15.6640625" customWidth="1"/>
    <col min="26" max="26" width="11.5" customWidth="1"/>
  </cols>
  <sheetData>
    <row r="1" spans="1:26" ht="31.5" customHeight="1" x14ac:dyDescent="0.3">
      <c r="A1" s="197" t="s">
        <v>263</v>
      </c>
    </row>
    <row r="2" spans="1:26" ht="16" x14ac:dyDescent="0.2">
      <c r="A2" s="534" t="s">
        <v>399</v>
      </c>
    </row>
    <row r="4" spans="1:26" x14ac:dyDescent="0.2">
      <c r="A4" s="515" t="s">
        <v>62</v>
      </c>
      <c r="B4" s="515"/>
      <c r="C4" s="515"/>
      <c r="D4" s="515"/>
      <c r="E4" s="33">
        <v>0</v>
      </c>
      <c r="F4" s="30">
        <v>1</v>
      </c>
      <c r="G4" s="30">
        <v>2</v>
      </c>
      <c r="H4" s="30">
        <v>3</v>
      </c>
      <c r="I4" s="30">
        <v>4</v>
      </c>
      <c r="J4" s="30">
        <v>5</v>
      </c>
      <c r="K4" s="30">
        <v>6</v>
      </c>
      <c r="L4" s="30">
        <v>7</v>
      </c>
      <c r="M4" s="30">
        <v>8</v>
      </c>
      <c r="N4" s="30">
        <v>9</v>
      </c>
      <c r="O4" s="30">
        <v>10</v>
      </c>
      <c r="P4" s="30">
        <v>11</v>
      </c>
      <c r="Q4" s="30">
        <v>12</v>
      </c>
      <c r="R4" s="30">
        <v>13</v>
      </c>
      <c r="S4" s="30">
        <v>14</v>
      </c>
      <c r="T4" s="30">
        <v>15</v>
      </c>
      <c r="U4" s="30">
        <v>16</v>
      </c>
      <c r="V4" s="30">
        <v>17</v>
      </c>
      <c r="W4" s="30">
        <v>18</v>
      </c>
      <c r="X4" s="30">
        <v>19</v>
      </c>
      <c r="Y4" s="30">
        <v>20</v>
      </c>
    </row>
    <row r="5" spans="1:26" x14ac:dyDescent="0.2">
      <c r="A5" s="516" t="s">
        <v>79</v>
      </c>
      <c r="B5" s="516"/>
      <c r="C5" s="516"/>
      <c r="D5" s="516"/>
      <c r="E5" s="36">
        <f>MAX('Vehicle &amp; Station Calculations'!E38:E44)</f>
        <v>0</v>
      </c>
      <c r="F5" s="32">
        <f>MAX('Vehicle &amp; Station Calculations'!F38:F44)</f>
        <v>0</v>
      </c>
      <c r="G5" s="32">
        <f>MAX('Vehicle &amp; Station Calculations'!G38:G44)</f>
        <v>0</v>
      </c>
      <c r="H5" s="32">
        <f>MAX('Vehicle &amp; Station Calculations'!H38:H44)</f>
        <v>0</v>
      </c>
      <c r="I5" s="32">
        <f>MAX('Vehicle &amp; Station Calculations'!I38:I44)</f>
        <v>0</v>
      </c>
      <c r="J5" s="32">
        <f>MAX('Vehicle &amp; Station Calculations'!J38:J44)</f>
        <v>0</v>
      </c>
      <c r="K5" s="32">
        <f>MAX('Vehicle &amp; Station Calculations'!K38:K44)</f>
        <v>0</v>
      </c>
      <c r="L5" s="32">
        <f>MAX('Vehicle &amp; Station Calculations'!L38:L44)</f>
        <v>0</v>
      </c>
      <c r="M5" s="32">
        <f>MAX('Vehicle &amp; Station Calculations'!M38:M44)</f>
        <v>0</v>
      </c>
      <c r="N5" s="32">
        <f>MAX('Vehicle &amp; Station Calculations'!N38:N44)</f>
        <v>0</v>
      </c>
      <c r="O5" s="32">
        <f>MAX('Vehicle &amp; Station Calculations'!O38:O44)</f>
        <v>0</v>
      </c>
      <c r="P5" s="32">
        <f>MAX('Vehicle &amp; Station Calculations'!P38:P44)</f>
        <v>0</v>
      </c>
      <c r="Q5" s="32">
        <f>MAX('Vehicle &amp; Station Calculations'!Q38:Q44)</f>
        <v>0</v>
      </c>
      <c r="R5" s="32">
        <f>MAX('Vehicle &amp; Station Calculations'!R38:R44)</f>
        <v>0</v>
      </c>
      <c r="S5" s="32">
        <f>MAX('Vehicle &amp; Station Calculations'!S38:S44)</f>
        <v>0</v>
      </c>
      <c r="T5" s="32">
        <f>MAX('Vehicle &amp; Station Calculations'!T38:T44)</f>
        <v>0</v>
      </c>
      <c r="U5" s="32">
        <f>MAX('Vehicle &amp; Station Calculations'!U38:U44)</f>
        <v>0</v>
      </c>
      <c r="V5" s="32">
        <f>MAX('Vehicle &amp; Station Calculations'!V38:V44)</f>
        <v>0</v>
      </c>
      <c r="W5" s="32">
        <f>MAX('Vehicle &amp; Station Calculations'!W38:W44)</f>
        <v>0</v>
      </c>
      <c r="X5" s="32">
        <f>MAX('Vehicle &amp; Station Calculations'!X38:X44)</f>
        <v>0</v>
      </c>
      <c r="Y5" s="32">
        <f>MAX('Vehicle &amp; Station Calculations'!Y38:Y44)</f>
        <v>0</v>
      </c>
    </row>
    <row r="7" spans="1:26" x14ac:dyDescent="0.2">
      <c r="A7" s="519" t="s">
        <v>88</v>
      </c>
      <c r="B7" s="519"/>
      <c r="C7" s="519"/>
      <c r="D7" s="519"/>
      <c r="E7" s="1"/>
      <c r="F7" s="1"/>
      <c r="G7" s="1"/>
      <c r="H7" s="1"/>
      <c r="I7" s="1"/>
      <c r="J7" s="1"/>
      <c r="K7" s="1"/>
      <c r="L7" s="1"/>
      <c r="M7" s="1"/>
      <c r="N7" s="1"/>
      <c r="O7" s="1"/>
      <c r="P7" s="1"/>
      <c r="Q7" s="1"/>
      <c r="R7" s="1"/>
      <c r="S7" s="1"/>
      <c r="T7" s="1"/>
      <c r="U7" s="1"/>
      <c r="V7" s="1"/>
      <c r="W7" s="1"/>
      <c r="X7" s="1"/>
      <c r="Y7" s="1"/>
    </row>
    <row r="8" spans="1:26" x14ac:dyDescent="0.2">
      <c r="A8" s="1"/>
      <c r="B8" s="518" t="s">
        <v>89</v>
      </c>
      <c r="C8" s="518"/>
      <c r="D8" s="518"/>
      <c r="E8" s="37">
        <f>((Inputs!D95*(Inputs!$E$27-Inputs!$K$27))+((Inputs!D96*(Inputs!$E$28-Inputs!$K$28))+((Inputs!D97*(Inputs!$E$29-Inputs!$K$29))+((Inputs!D98*(Inputs!$E$30-Inputs!$K$30))+((Inputs!D99*(Inputs!$E$31-Inputs!$K$31))+((Inputs!D100*(Inputs!$E$32-Inputs!$K$32))+((Inputs!D101*(Inputs!$E$33-Inputs!$K$33)))))))))</f>
        <v>0</v>
      </c>
      <c r="F8" s="37">
        <f>((Inputs!E95*(Inputs!$E$27-Inputs!$K$27))+((Inputs!E96*(Inputs!$E$28-Inputs!$K$28))+((Inputs!E97*(Inputs!$E$29-Inputs!$K$29))+((Inputs!E98*(Inputs!$E$30-Inputs!$K$30))+((Inputs!E99*(Inputs!$E$31-Inputs!$K$31))+((Inputs!E100*(Inputs!$E$32-Inputs!$K$32))+((Inputs!E101*(Inputs!$E$33-Inputs!$K$33)))))))))</f>
        <v>0</v>
      </c>
      <c r="G8" s="37">
        <f>((Inputs!F95*(Inputs!$E$27-Inputs!$K$27))+((Inputs!F96*(Inputs!$E$28-Inputs!$K$28))+((Inputs!F97*(Inputs!$E$29-Inputs!$K$29))+((Inputs!F98*(Inputs!$E$30-Inputs!$K$30))+((Inputs!F99*(Inputs!$E$31-Inputs!$K$31))+((Inputs!F100*(Inputs!$E$32-Inputs!$K$32))+((Inputs!F101*(Inputs!$E$33-Inputs!$K$33)))))))))</f>
        <v>0</v>
      </c>
      <c r="H8" s="37">
        <f>((Inputs!G95*(Inputs!$E$27-Inputs!$K$27))+((Inputs!G96*(Inputs!$E$28-Inputs!$K$28))+((Inputs!G97*(Inputs!$E$29-Inputs!$K$29))+((Inputs!G98*(Inputs!$E$30-Inputs!$K$30))+((Inputs!G99*(Inputs!$E$31-Inputs!$K$31))+((Inputs!G100*(Inputs!$E$32-Inputs!$K$32))+((Inputs!G101*(Inputs!$E$33-Inputs!$K$33)))))))))</f>
        <v>0</v>
      </c>
      <c r="I8" s="37">
        <f>((Inputs!H95*(Inputs!$E$27-Inputs!$K$27))+((Inputs!H96*(Inputs!$E$28-Inputs!$K$28))+((Inputs!H97*(Inputs!$E$29-Inputs!$K$29))+((Inputs!H98*(Inputs!$E$30-Inputs!$K$30))+((Inputs!H99*(Inputs!$E$31-Inputs!$K$31))+((Inputs!H100*(Inputs!$E$32-Inputs!$K$32))+((Inputs!H101*(Inputs!$E$33-Inputs!$K$33)))))))))</f>
        <v>0</v>
      </c>
      <c r="J8" s="37">
        <f>((Inputs!I95*(Inputs!$E$27-Inputs!$K$27))+((Inputs!I96*(Inputs!$E$28-Inputs!$K$28))+((Inputs!I97*(Inputs!$E$29-Inputs!$K$29))+((Inputs!I98*(Inputs!$E$30-Inputs!$K$30))+((Inputs!I99*(Inputs!$E$31-Inputs!$K$31))+((Inputs!I100*(Inputs!$E$32-Inputs!$K$32))+((Inputs!I101*(Inputs!$E$33-Inputs!$K$33)))))))))</f>
        <v>0</v>
      </c>
      <c r="K8" s="37">
        <f>((Inputs!J95*(Inputs!$E$27-Inputs!$K$27))+((Inputs!J96*(Inputs!$E$28-Inputs!$K$28))+((Inputs!J97*(Inputs!$E$29-Inputs!$K$29))+((Inputs!J98*(Inputs!$E$30-Inputs!$K$30))+((Inputs!J99*(Inputs!$E$31-Inputs!$K$31))+((Inputs!J100*(Inputs!$E$32-Inputs!$K$32))+((Inputs!J101*(Inputs!$E$33-Inputs!$K$33)))))))))</f>
        <v>0</v>
      </c>
      <c r="L8" s="37">
        <f>((Inputs!K95*(Inputs!$E$27-Inputs!$K$27))+((Inputs!K96*(Inputs!$E$28-Inputs!$K$28))+((Inputs!K97*(Inputs!$E$29-Inputs!$K$29))+((Inputs!K98*(Inputs!$E$30-Inputs!$K$30))+((Inputs!K99*(Inputs!$E$31-Inputs!$K$31))+((Inputs!K100*(Inputs!$E$32-Inputs!$K$32))+((Inputs!K101*(Inputs!$E$33-Inputs!$K$33)))))))))</f>
        <v>0</v>
      </c>
      <c r="M8" s="37">
        <f>((Inputs!L95*(Inputs!$E$27-Inputs!$K$27))+((Inputs!L96*(Inputs!$E$28-Inputs!$K$28))+((Inputs!L97*(Inputs!$E$29-Inputs!$K$29))+((Inputs!L98*(Inputs!$E$30-Inputs!$K$30))+((Inputs!L99*(Inputs!$E$31-Inputs!$K$31))+((Inputs!L100*(Inputs!$E$32-Inputs!$K$32))+((Inputs!L101*(Inputs!$E$33-Inputs!$K$33)))))))))</f>
        <v>0</v>
      </c>
      <c r="N8" s="37">
        <f>((Inputs!M95*(Inputs!$E$27-Inputs!$K$27))+((Inputs!M96*(Inputs!$E$28-Inputs!$K$28))+((Inputs!M97*(Inputs!$E$29-Inputs!$K$29))+((Inputs!M98*(Inputs!$E$30-Inputs!$K$30))+((Inputs!M99*(Inputs!$E$31-Inputs!$K$31))+((Inputs!M100*(Inputs!$E$32-Inputs!$K$32))+((Inputs!M101*(Inputs!$E$33-Inputs!$K$33)))))))))</f>
        <v>0</v>
      </c>
      <c r="O8" s="37">
        <f>((Inputs!N95*(Inputs!$E$27-Inputs!$K$27))+((Inputs!N96*(Inputs!$E$28-Inputs!$K$28))+((Inputs!N97*(Inputs!$E$29-Inputs!$K$29))+((Inputs!N98*(Inputs!$E$30-Inputs!$K$30))+((Inputs!N99*(Inputs!$E$31-Inputs!$K$31))+((Inputs!N100*(Inputs!$E$32-Inputs!$K$32))+((Inputs!N101*(Inputs!$E$33-Inputs!$K$33)))))))))</f>
        <v>0</v>
      </c>
      <c r="P8" s="37">
        <f>((Inputs!O95*(Inputs!$E$27-Inputs!$K$27))+((Inputs!O96*(Inputs!$E$28-Inputs!$K$28))+((Inputs!O97*(Inputs!$E$29-Inputs!$K$29))+((Inputs!O98*(Inputs!$E$30-Inputs!$K$30))+((Inputs!O99*(Inputs!$E$31-Inputs!$K$31))+((Inputs!O100*(Inputs!$E$32-Inputs!$K$32))+((Inputs!O101*(Inputs!$E$33-Inputs!$K$33)))))))))</f>
        <v>0</v>
      </c>
      <c r="Q8" s="37">
        <f>((Inputs!P95*(Inputs!$E$27-Inputs!$K$27))+((Inputs!P96*(Inputs!$E$28-Inputs!$K$28))+((Inputs!P97*(Inputs!$E$29-Inputs!$K$29))+((Inputs!P98*(Inputs!$E$30-Inputs!$K$30))+((Inputs!P99*(Inputs!$E$31-Inputs!$K$31))+((Inputs!P100*(Inputs!$E$32-Inputs!$K$32))+((Inputs!P101*(Inputs!$E$33-Inputs!$K$33)))))))))</f>
        <v>0</v>
      </c>
      <c r="R8" s="37">
        <f>((Inputs!Q95*(Inputs!$E$27-Inputs!$K$27))+((Inputs!Q96*(Inputs!$E$28-Inputs!$K$28))+((Inputs!Q97*(Inputs!$E$29-Inputs!$K$29))+((Inputs!Q98*(Inputs!$E$30-Inputs!$K$30))+((Inputs!Q99*(Inputs!$E$31-Inputs!$K$31))+((Inputs!Q100*(Inputs!$E$32-Inputs!$K$32))+((Inputs!Q101*(Inputs!$E$33-Inputs!$K$33)))))))))</f>
        <v>0</v>
      </c>
      <c r="S8" s="37">
        <f>((Inputs!R95*(Inputs!$E$27-Inputs!$K$27))+((Inputs!R96*(Inputs!$E$28-Inputs!$K$28))+((Inputs!R97*(Inputs!$E$29-Inputs!$K$29))+((Inputs!R98*(Inputs!$E$30-Inputs!$K$30))+((Inputs!R99*(Inputs!$E$31-Inputs!$K$31))+((Inputs!R100*(Inputs!$E$32-Inputs!$K$32))+((Inputs!R101*(Inputs!$E$33-Inputs!$K$33)))))))))</f>
        <v>0</v>
      </c>
      <c r="T8" s="37">
        <f>((Inputs!S95*(Inputs!$E$27-Inputs!$K$27))+((Inputs!S96*(Inputs!$E$28-Inputs!$K$28))+((Inputs!S97*(Inputs!$E$29-Inputs!$K$29))+((Inputs!S98*(Inputs!$E$30-Inputs!$K$30))+((Inputs!S99*(Inputs!$E$31-Inputs!$K$31))+((Inputs!S100*(Inputs!$E$32-Inputs!$K$32))+((Inputs!S101*(Inputs!$E$33-Inputs!$K$33)))))))))</f>
        <v>0</v>
      </c>
      <c r="U8" s="37">
        <f>((Inputs!T95*(Inputs!$E$27-Inputs!$K$27))+((Inputs!T96*(Inputs!$E$28-Inputs!$K$28))+((Inputs!T97*(Inputs!$E$29-Inputs!$K$29))+((Inputs!T98*(Inputs!$E$30-Inputs!$K$30))+((Inputs!T99*(Inputs!$E$31-Inputs!$K$31))+((Inputs!T100*(Inputs!$E$32-Inputs!$K$32))+((Inputs!T101*(Inputs!$E$33-Inputs!$K$33)))))))))</f>
        <v>0</v>
      </c>
      <c r="V8" s="37">
        <f>((Inputs!U95*(Inputs!$E$27-Inputs!$K$27))+((Inputs!U96*(Inputs!$E$28-Inputs!$K$28))+((Inputs!U97*(Inputs!$E$29-Inputs!$K$29))+((Inputs!U98*(Inputs!$E$30-Inputs!$K$30))+((Inputs!U99*(Inputs!$E$31-Inputs!$K$31))+((Inputs!U100*(Inputs!$E$32-Inputs!$K$32))+((Inputs!U101*(Inputs!$E$33-Inputs!$K$33)))))))))</f>
        <v>0</v>
      </c>
      <c r="W8" s="37">
        <f>((Inputs!V95*(Inputs!$E$27-Inputs!$K$27))+((Inputs!V96*(Inputs!$E$28-Inputs!$K$28))+((Inputs!V97*(Inputs!$E$29-Inputs!$K$29))+((Inputs!V98*(Inputs!$E$30-Inputs!$K$30))+((Inputs!V99*(Inputs!$E$31-Inputs!$K$31))+((Inputs!V100*(Inputs!$E$32-Inputs!$K$32))+((Inputs!V101*(Inputs!$E$33-Inputs!$K$33)))))))))</f>
        <v>0</v>
      </c>
      <c r="X8" s="37">
        <f>((Inputs!W95*(Inputs!$E$27-Inputs!$K$27))+((Inputs!W96*(Inputs!$E$28-Inputs!$K$28))+((Inputs!W97*(Inputs!$E$29-Inputs!$K$29))+((Inputs!W98*(Inputs!$E$30-Inputs!$K$30))+((Inputs!W99*(Inputs!$E$31-Inputs!$K$31))+((Inputs!W100*(Inputs!$E$32-Inputs!$K$32))+((Inputs!W101*(Inputs!$E$33-Inputs!$K$33)))))))))</f>
        <v>0</v>
      </c>
      <c r="Y8" s="37">
        <f>((Inputs!X95*(Inputs!$E$27-Inputs!$K$27))+((Inputs!X96*(Inputs!$E$28-Inputs!$K$28))+((Inputs!X97*(Inputs!$E$29-Inputs!$K$29))+((Inputs!X98*(Inputs!$E$30-Inputs!$K$30))+((Inputs!X99*(Inputs!$E$31-Inputs!$K$31))+((Inputs!X100*(Inputs!$E$32-Inputs!$K$32))+((Inputs!X101*(Inputs!$E$33-Inputs!$K$33)))))))))</f>
        <v>0</v>
      </c>
      <c r="Z8" s="86"/>
    </row>
    <row r="9" spans="1:26" x14ac:dyDescent="0.2">
      <c r="A9" s="1"/>
      <c r="B9" s="324" t="s">
        <v>90</v>
      </c>
      <c r="C9" s="324"/>
      <c r="D9" s="324"/>
      <c r="E9" s="24">
        <f>IF(Project_Type=2,0,(IF(Invest_Type=1,'Vehicle &amp; Station Calculations'!E63,Inputs!D107)))</f>
        <v>0</v>
      </c>
      <c r="F9" s="24">
        <f>IF(Project_Type=2,0,(IF(Invest_Type=1,'Vehicle &amp; Station Calculations'!F63,Inputs!E107)))</f>
        <v>0</v>
      </c>
      <c r="G9" s="24">
        <f>IF(Project_Type=2,0,(IF(Invest_Type=1,'Vehicle &amp; Station Calculations'!G63,Inputs!F107)))</f>
        <v>0</v>
      </c>
      <c r="H9" s="24">
        <f>IF(Project_Type=2,0,(IF(Invest_Type=1,'Vehicle &amp; Station Calculations'!H63,Inputs!G107)))</f>
        <v>0</v>
      </c>
      <c r="I9" s="24">
        <f>IF(Project_Type=2,0,(IF(Invest_Type=1,'Vehicle &amp; Station Calculations'!I63,Inputs!H107)))</f>
        <v>0</v>
      </c>
      <c r="J9" s="24">
        <f>IF(Project_Type=2,0,(IF(Invest_Type=1,'Vehicle &amp; Station Calculations'!J63,Inputs!I107)))</f>
        <v>0</v>
      </c>
      <c r="K9" s="24">
        <f>IF(Project_Type=2,0,(IF(Invest_Type=1,'Vehicle &amp; Station Calculations'!K63,Inputs!J107)))</f>
        <v>0</v>
      </c>
      <c r="L9" s="24">
        <f>IF(Project_Type=2,0,(IF(Invest_Type=1,'Vehicle &amp; Station Calculations'!L63,Inputs!K107)))</f>
        <v>0</v>
      </c>
      <c r="M9" s="24">
        <f>IF(Project_Type=2,0,(IF(Invest_Type=1,'Vehicle &amp; Station Calculations'!M63,Inputs!L107)))</f>
        <v>0</v>
      </c>
      <c r="N9" s="24">
        <f>IF(Project_Type=2,0,(IF(Invest_Type=1,'Vehicle &amp; Station Calculations'!N63,Inputs!M107)))</f>
        <v>0</v>
      </c>
      <c r="O9" s="24">
        <f>IF(Project_Type=2,0,(IF(Invest_Type=1,'Vehicle &amp; Station Calculations'!O63,Inputs!N107)))</f>
        <v>0</v>
      </c>
      <c r="P9" s="24">
        <f>IF(Project_Type=2,0,(IF(Invest_Type=1,'Vehicle &amp; Station Calculations'!P63,Inputs!O107)))</f>
        <v>0</v>
      </c>
      <c r="Q9" s="24">
        <f>IF(Project_Type=2,0,(IF(Invest_Type=1,'Vehicle &amp; Station Calculations'!Q63,Inputs!P107)))</f>
        <v>0</v>
      </c>
      <c r="R9" s="24">
        <f>IF(Project_Type=2,0,(IF(Invest_Type=1,'Vehicle &amp; Station Calculations'!R63,Inputs!Q107)))</f>
        <v>0</v>
      </c>
      <c r="S9" s="24">
        <f>IF(Project_Type=2,0,(IF(Invest_Type=1,'Vehicle &amp; Station Calculations'!S63,Inputs!R107)))</f>
        <v>0</v>
      </c>
      <c r="T9" s="24">
        <f>IF(Project_Type=2,0,(IF(Invest_Type=1,'Vehicle &amp; Station Calculations'!T63,Inputs!S107)))</f>
        <v>0</v>
      </c>
      <c r="U9" s="24">
        <f>IF(Project_Type=2,0,(IF(Invest_Type=1,'Vehicle &amp; Station Calculations'!U63,Inputs!T107)))</f>
        <v>0</v>
      </c>
      <c r="V9" s="24">
        <f>IF(Project_Type=2,0,(IF(Invest_Type=1,'Vehicle &amp; Station Calculations'!V63,Inputs!U107)))</f>
        <v>0</v>
      </c>
      <c r="W9" s="24">
        <f>IF(Project_Type=2,0,(IF(Invest_Type=1,'Vehicle &amp; Station Calculations'!W63,Inputs!V107)))</f>
        <v>0</v>
      </c>
      <c r="X9" s="24">
        <f>IF(Project_Type=2,0,(IF(Invest_Type=1,'Vehicle &amp; Station Calculations'!X63,Inputs!W107)))</f>
        <v>0</v>
      </c>
      <c r="Y9" s="24">
        <f>IF(Project_Type=2,0,(IF(Invest_Type=1,'Vehicle &amp; Station Calculations'!Y63,Inputs!X107)))</f>
        <v>0</v>
      </c>
      <c r="Z9" s="86"/>
    </row>
    <row r="10" spans="1:26" x14ac:dyDescent="0.2">
      <c r="A10" s="1"/>
      <c r="B10" s="324" t="s">
        <v>91</v>
      </c>
      <c r="C10" s="324"/>
      <c r="D10" s="324"/>
      <c r="E10" s="24">
        <f t="shared" ref="E10:Y10" si="0">IF(E9&gt;(infra_tax_credit_cap/(infra_tax_credit_rate+0.000000001)),infra_tax_credit_cap,(E9*infra_tax_credit_rate))</f>
        <v>0</v>
      </c>
      <c r="F10" s="24">
        <f t="shared" si="0"/>
        <v>0</v>
      </c>
      <c r="G10" s="24">
        <f t="shared" si="0"/>
        <v>0</v>
      </c>
      <c r="H10" s="24">
        <f t="shared" si="0"/>
        <v>0</v>
      </c>
      <c r="I10" s="24">
        <f t="shared" si="0"/>
        <v>0</v>
      </c>
      <c r="J10" s="24">
        <f t="shared" si="0"/>
        <v>0</v>
      </c>
      <c r="K10" s="24">
        <f t="shared" si="0"/>
        <v>0</v>
      </c>
      <c r="L10" s="24">
        <f t="shared" si="0"/>
        <v>0</v>
      </c>
      <c r="M10" s="24">
        <f t="shared" si="0"/>
        <v>0</v>
      </c>
      <c r="N10" s="24">
        <f t="shared" si="0"/>
        <v>0</v>
      </c>
      <c r="O10" s="24">
        <f t="shared" si="0"/>
        <v>0</v>
      </c>
      <c r="P10" s="24">
        <f t="shared" si="0"/>
        <v>0</v>
      </c>
      <c r="Q10" s="24">
        <f t="shared" si="0"/>
        <v>0</v>
      </c>
      <c r="R10" s="24">
        <f t="shared" si="0"/>
        <v>0</v>
      </c>
      <c r="S10" s="24">
        <f t="shared" si="0"/>
        <v>0</v>
      </c>
      <c r="T10" s="24">
        <f t="shared" si="0"/>
        <v>0</v>
      </c>
      <c r="U10" s="24">
        <f t="shared" si="0"/>
        <v>0</v>
      </c>
      <c r="V10" s="24">
        <f t="shared" si="0"/>
        <v>0</v>
      </c>
      <c r="W10" s="24">
        <f t="shared" si="0"/>
        <v>0</v>
      </c>
      <c r="X10" s="24">
        <f t="shared" si="0"/>
        <v>0</v>
      </c>
      <c r="Y10" s="24">
        <f t="shared" si="0"/>
        <v>0</v>
      </c>
    </row>
    <row r="11" spans="1:26" x14ac:dyDescent="0.2">
      <c r="A11" s="1"/>
      <c r="B11" s="519" t="s">
        <v>92</v>
      </c>
      <c r="C11" s="519"/>
      <c r="D11" s="519"/>
      <c r="E11" s="38">
        <f t="shared" ref="E11:Y11" si="1">SUM(E8:E9)-E10</f>
        <v>0</v>
      </c>
      <c r="F11" s="38">
        <f t="shared" si="1"/>
        <v>0</v>
      </c>
      <c r="G11" s="38">
        <f t="shared" si="1"/>
        <v>0</v>
      </c>
      <c r="H11" s="38">
        <f t="shared" si="1"/>
        <v>0</v>
      </c>
      <c r="I11" s="38">
        <f t="shared" si="1"/>
        <v>0</v>
      </c>
      <c r="J11" s="38">
        <f t="shared" si="1"/>
        <v>0</v>
      </c>
      <c r="K11" s="38">
        <f t="shared" si="1"/>
        <v>0</v>
      </c>
      <c r="L11" s="38">
        <f t="shared" si="1"/>
        <v>0</v>
      </c>
      <c r="M11" s="38">
        <f t="shared" si="1"/>
        <v>0</v>
      </c>
      <c r="N11" s="38">
        <f t="shared" si="1"/>
        <v>0</v>
      </c>
      <c r="O11" s="38">
        <f t="shared" si="1"/>
        <v>0</v>
      </c>
      <c r="P11" s="38">
        <f t="shared" si="1"/>
        <v>0</v>
      </c>
      <c r="Q11" s="38">
        <f t="shared" si="1"/>
        <v>0</v>
      </c>
      <c r="R11" s="38">
        <f t="shared" si="1"/>
        <v>0</v>
      </c>
      <c r="S11" s="38">
        <f t="shared" si="1"/>
        <v>0</v>
      </c>
      <c r="T11" s="38">
        <f t="shared" si="1"/>
        <v>0</v>
      </c>
      <c r="U11" s="38">
        <f t="shared" si="1"/>
        <v>0</v>
      </c>
      <c r="V11" s="38">
        <f t="shared" si="1"/>
        <v>0</v>
      </c>
      <c r="W11" s="38">
        <f t="shared" si="1"/>
        <v>0</v>
      </c>
      <c r="X11" s="38">
        <f t="shared" si="1"/>
        <v>0</v>
      </c>
      <c r="Y11" s="38">
        <f t="shared" si="1"/>
        <v>0</v>
      </c>
      <c r="Z11" s="86"/>
    </row>
    <row r="12" spans="1:26" x14ac:dyDescent="0.2">
      <c r="B12" s="517"/>
      <c r="C12" s="517"/>
      <c r="D12" s="517"/>
    </row>
    <row r="13" spans="1:26" x14ac:dyDescent="0.2">
      <c r="A13" s="529" t="s">
        <v>93</v>
      </c>
      <c r="B13" s="529"/>
      <c r="C13" s="529"/>
      <c r="D13" s="529"/>
    </row>
    <row r="14" spans="1:26" x14ac:dyDescent="0.2">
      <c r="A14" s="1"/>
      <c r="B14" s="530" t="s">
        <v>94</v>
      </c>
      <c r="C14" s="530"/>
      <c r="D14" s="530"/>
      <c r="E14" s="39">
        <f t="shared" ref="E14:Y14" si="2">IF(AND(E5=6,F5=0),(SUM($E9:$Y9)*CNG_Station_Salv),0)</f>
        <v>0</v>
      </c>
      <c r="F14" s="39">
        <f t="shared" si="2"/>
        <v>0</v>
      </c>
      <c r="G14" s="39">
        <f t="shared" si="2"/>
        <v>0</v>
      </c>
      <c r="H14" s="39">
        <f t="shared" si="2"/>
        <v>0</v>
      </c>
      <c r="I14" s="39">
        <f t="shared" si="2"/>
        <v>0</v>
      </c>
      <c r="J14" s="39">
        <f t="shared" si="2"/>
        <v>0</v>
      </c>
      <c r="K14" s="39">
        <f t="shared" si="2"/>
        <v>0</v>
      </c>
      <c r="L14" s="39">
        <f t="shared" si="2"/>
        <v>0</v>
      </c>
      <c r="M14" s="39">
        <f t="shared" si="2"/>
        <v>0</v>
      </c>
      <c r="N14" s="39">
        <f t="shared" si="2"/>
        <v>0</v>
      </c>
      <c r="O14" s="39">
        <f t="shared" si="2"/>
        <v>0</v>
      </c>
      <c r="P14" s="39">
        <f t="shared" si="2"/>
        <v>0</v>
      </c>
      <c r="Q14" s="39">
        <f t="shared" si="2"/>
        <v>0</v>
      </c>
      <c r="R14" s="39">
        <f t="shared" si="2"/>
        <v>0</v>
      </c>
      <c r="S14" s="39">
        <f t="shared" si="2"/>
        <v>0</v>
      </c>
      <c r="T14" s="39">
        <f t="shared" si="2"/>
        <v>0</v>
      </c>
      <c r="U14" s="39">
        <f t="shared" si="2"/>
        <v>0</v>
      </c>
      <c r="V14" s="39">
        <f t="shared" si="2"/>
        <v>0</v>
      </c>
      <c r="W14" s="39">
        <f t="shared" si="2"/>
        <v>0</v>
      </c>
      <c r="X14" s="39">
        <f t="shared" si="2"/>
        <v>0</v>
      </c>
      <c r="Y14" s="39">
        <f t="shared" si="2"/>
        <v>0</v>
      </c>
      <c r="Z14" s="86"/>
    </row>
    <row r="16" spans="1:26" x14ac:dyDescent="0.2">
      <c r="A16" s="520" t="s">
        <v>95</v>
      </c>
      <c r="B16" s="520"/>
      <c r="C16" s="520"/>
      <c r="D16" s="521"/>
      <c r="E16" s="40"/>
      <c r="F16" s="40"/>
      <c r="G16" s="40"/>
      <c r="H16" s="40"/>
      <c r="I16" s="40"/>
      <c r="J16" s="40"/>
      <c r="K16" s="40"/>
      <c r="L16" s="40"/>
      <c r="M16" s="40"/>
      <c r="N16" s="40"/>
      <c r="O16" s="40"/>
      <c r="P16" s="40"/>
      <c r="Q16" s="40"/>
      <c r="R16" s="40"/>
      <c r="S16" s="40"/>
      <c r="T16" s="40"/>
      <c r="U16" s="40"/>
      <c r="V16" s="40"/>
      <c r="W16" s="40"/>
      <c r="X16" s="40"/>
      <c r="Y16" s="40"/>
    </row>
    <row r="17" spans="1:26" x14ac:dyDescent="0.2">
      <c r="A17" s="1"/>
      <c r="B17" s="514" t="s">
        <v>96</v>
      </c>
      <c r="C17" s="514"/>
      <c r="D17" s="514"/>
      <c r="E17" s="60">
        <f>CNG_Price</f>
        <v>2.09</v>
      </c>
      <c r="F17" s="60">
        <f t="shared" ref="F17:Y17" si="3">E17+(E17*CNG_Inflation)</f>
        <v>2.1464300000000001</v>
      </c>
      <c r="G17" s="60">
        <f t="shared" si="3"/>
        <v>2.2043836100000003</v>
      </c>
      <c r="H17" s="60">
        <f t="shared" si="3"/>
        <v>2.2639019674700003</v>
      </c>
      <c r="I17" s="60">
        <f t="shared" si="3"/>
        <v>2.3250273205916905</v>
      </c>
      <c r="J17" s="60">
        <f t="shared" si="3"/>
        <v>2.3878030582476661</v>
      </c>
      <c r="K17" s="60">
        <f t="shared" si="3"/>
        <v>2.452273740820353</v>
      </c>
      <c r="L17" s="60">
        <f t="shared" si="3"/>
        <v>2.5184851318225023</v>
      </c>
      <c r="M17" s="60">
        <f t="shared" si="3"/>
        <v>2.5864842303817097</v>
      </c>
      <c r="N17" s="60">
        <f t="shared" si="3"/>
        <v>2.6563193046020159</v>
      </c>
      <c r="O17" s="60">
        <f t="shared" si="3"/>
        <v>2.7280399258262702</v>
      </c>
      <c r="P17" s="60">
        <f t="shared" si="3"/>
        <v>2.8016970038235796</v>
      </c>
      <c r="Q17" s="60">
        <f t="shared" si="3"/>
        <v>2.8773428229268161</v>
      </c>
      <c r="R17" s="60">
        <f t="shared" si="3"/>
        <v>2.9550310791458401</v>
      </c>
      <c r="S17" s="60">
        <f t="shared" si="3"/>
        <v>3.0348169182827776</v>
      </c>
      <c r="T17" s="60">
        <f t="shared" si="3"/>
        <v>3.1167569750764126</v>
      </c>
      <c r="U17" s="60">
        <f t="shared" si="3"/>
        <v>3.2009094134034757</v>
      </c>
      <c r="V17" s="60">
        <f t="shared" si="3"/>
        <v>3.2873339675653694</v>
      </c>
      <c r="W17" s="60">
        <f t="shared" si="3"/>
        <v>3.3760919846896345</v>
      </c>
      <c r="X17" s="60">
        <f t="shared" si="3"/>
        <v>3.4672464682762545</v>
      </c>
      <c r="Y17" s="60">
        <f t="shared" si="3"/>
        <v>3.5608621229197133</v>
      </c>
      <c r="Z17" s="86"/>
    </row>
    <row r="18" spans="1:26" x14ac:dyDescent="0.2">
      <c r="A18" s="1"/>
      <c r="B18" s="321" t="s">
        <v>97</v>
      </c>
      <c r="C18" s="321"/>
      <c r="D18" s="321"/>
      <c r="E18" s="58">
        <f>Diesel_Price</f>
        <v>3.91</v>
      </c>
      <c r="F18" s="58">
        <f t="shared" ref="F18:Y18" si="4">E18+(E18*Diesel_Inflation)</f>
        <v>4.0077499999999997</v>
      </c>
      <c r="G18" s="58">
        <f t="shared" si="4"/>
        <v>4.1079437499999996</v>
      </c>
      <c r="H18" s="58">
        <f t="shared" si="4"/>
        <v>4.2106423437499991</v>
      </c>
      <c r="I18" s="58">
        <f t="shared" si="4"/>
        <v>4.3159084023437488</v>
      </c>
      <c r="J18" s="58">
        <f t="shared" si="4"/>
        <v>4.4238061124023424</v>
      </c>
      <c r="K18" s="58">
        <f t="shared" si="4"/>
        <v>4.5344012652124013</v>
      </c>
      <c r="L18" s="58">
        <f t="shared" si="4"/>
        <v>4.6477612968427113</v>
      </c>
      <c r="M18" s="58">
        <f t="shared" si="4"/>
        <v>4.7639553292637791</v>
      </c>
      <c r="N18" s="58">
        <f t="shared" si="4"/>
        <v>4.8830542124953737</v>
      </c>
      <c r="O18" s="58">
        <f t="shared" si="4"/>
        <v>5.0051305678077584</v>
      </c>
      <c r="P18" s="58">
        <f t="shared" si="4"/>
        <v>5.1302588320029523</v>
      </c>
      <c r="Q18" s="58">
        <f t="shared" si="4"/>
        <v>5.2585153028030263</v>
      </c>
      <c r="R18" s="58">
        <f t="shared" si="4"/>
        <v>5.3899781853731019</v>
      </c>
      <c r="S18" s="58">
        <f t="shared" si="4"/>
        <v>5.5247276400074297</v>
      </c>
      <c r="T18" s="58">
        <f t="shared" si="4"/>
        <v>5.6628458310076155</v>
      </c>
      <c r="U18" s="58">
        <f t="shared" si="4"/>
        <v>5.8044169767828055</v>
      </c>
      <c r="V18" s="58">
        <f t="shared" si="4"/>
        <v>5.949527401202376</v>
      </c>
      <c r="W18" s="58">
        <f t="shared" si="4"/>
        <v>6.0982655862324355</v>
      </c>
      <c r="X18" s="58">
        <f t="shared" si="4"/>
        <v>6.2507222258882464</v>
      </c>
      <c r="Y18" s="58">
        <f t="shared" si="4"/>
        <v>6.4069902815354522</v>
      </c>
      <c r="Z18" s="86"/>
    </row>
    <row r="19" spans="1:26" x14ac:dyDescent="0.2">
      <c r="A19" s="1"/>
      <c r="B19" s="514" t="s">
        <v>98</v>
      </c>
      <c r="C19" s="514"/>
      <c r="D19" s="514"/>
      <c r="E19" s="60">
        <f t="shared" ref="E19:Y19" si="5">E18-Diesel_tax_exempt</f>
        <v>3.91</v>
      </c>
      <c r="F19" s="60">
        <f t="shared" si="5"/>
        <v>4.0077499999999997</v>
      </c>
      <c r="G19" s="59">
        <f t="shared" si="5"/>
        <v>4.1079437499999996</v>
      </c>
      <c r="H19" s="60">
        <f t="shared" si="5"/>
        <v>4.2106423437499991</v>
      </c>
      <c r="I19" s="60">
        <f t="shared" si="5"/>
        <v>4.3159084023437488</v>
      </c>
      <c r="J19" s="60">
        <f t="shared" si="5"/>
        <v>4.4238061124023424</v>
      </c>
      <c r="K19" s="60">
        <f t="shared" si="5"/>
        <v>4.5344012652124013</v>
      </c>
      <c r="L19" s="60">
        <f t="shared" si="5"/>
        <v>4.6477612968427113</v>
      </c>
      <c r="M19" s="60">
        <f t="shared" si="5"/>
        <v>4.7639553292637791</v>
      </c>
      <c r="N19" s="60">
        <f t="shared" si="5"/>
        <v>4.8830542124953737</v>
      </c>
      <c r="O19" s="60">
        <f t="shared" si="5"/>
        <v>5.0051305678077584</v>
      </c>
      <c r="P19" s="60">
        <f t="shared" si="5"/>
        <v>5.1302588320029523</v>
      </c>
      <c r="Q19" s="60">
        <f t="shared" si="5"/>
        <v>5.2585153028030263</v>
      </c>
      <c r="R19" s="60">
        <f t="shared" si="5"/>
        <v>5.3899781853731019</v>
      </c>
      <c r="S19" s="60">
        <f t="shared" si="5"/>
        <v>5.5247276400074297</v>
      </c>
      <c r="T19" s="60">
        <f t="shared" si="5"/>
        <v>5.6628458310076155</v>
      </c>
      <c r="U19" s="60">
        <f t="shared" si="5"/>
        <v>5.8044169767828055</v>
      </c>
      <c r="V19" s="60">
        <f t="shared" si="5"/>
        <v>5.949527401202376</v>
      </c>
      <c r="W19" s="60">
        <f t="shared" si="5"/>
        <v>6.0982655862324355</v>
      </c>
      <c r="X19" s="60">
        <f t="shared" si="5"/>
        <v>6.2507222258882464</v>
      </c>
      <c r="Y19" s="60">
        <f t="shared" si="5"/>
        <v>6.4069902815354522</v>
      </c>
      <c r="Z19" s="86"/>
    </row>
    <row r="20" spans="1:26" x14ac:dyDescent="0.2">
      <c r="A20" s="1"/>
      <c r="B20" s="321" t="s">
        <v>99</v>
      </c>
      <c r="C20" s="321"/>
      <c r="D20" s="321"/>
      <c r="E20" s="58">
        <f>Gasoline_Price</f>
        <v>3.45</v>
      </c>
      <c r="F20" s="58">
        <f t="shared" ref="F20:Y20" si="6">E20+(E20*Gasoline_Inflation)</f>
        <v>3.5224500000000001</v>
      </c>
      <c r="G20" s="58">
        <f t="shared" si="6"/>
        <v>3.5964214500000002</v>
      </c>
      <c r="H20" s="58">
        <f t="shared" si="6"/>
        <v>3.6719463004500001</v>
      </c>
      <c r="I20" s="58">
        <f t="shared" si="6"/>
        <v>3.7490571727594499</v>
      </c>
      <c r="J20" s="58">
        <f t="shared" si="6"/>
        <v>3.8277873733873986</v>
      </c>
      <c r="K20" s="58">
        <f t="shared" si="6"/>
        <v>3.9081709082285339</v>
      </c>
      <c r="L20" s="58">
        <f t="shared" si="6"/>
        <v>3.9902424973013328</v>
      </c>
      <c r="M20" s="58">
        <f t="shared" si="6"/>
        <v>4.0740375897446608</v>
      </c>
      <c r="N20" s="58">
        <f t="shared" si="6"/>
        <v>4.1595923791292986</v>
      </c>
      <c r="O20" s="58">
        <f t="shared" si="6"/>
        <v>4.2469438190910136</v>
      </c>
      <c r="P20" s="58">
        <f t="shared" si="6"/>
        <v>4.3361296392919249</v>
      </c>
      <c r="Q20" s="58">
        <f t="shared" si="6"/>
        <v>4.4271883617170555</v>
      </c>
      <c r="R20" s="58">
        <f t="shared" si="6"/>
        <v>4.520159317313114</v>
      </c>
      <c r="S20" s="58">
        <f t="shared" si="6"/>
        <v>4.6150826629766897</v>
      </c>
      <c r="T20" s="58">
        <f t="shared" si="6"/>
        <v>4.7119993988992004</v>
      </c>
      <c r="U20" s="58">
        <f t="shared" si="6"/>
        <v>4.8109513862760833</v>
      </c>
      <c r="V20" s="58">
        <f t="shared" si="6"/>
        <v>4.9119813653878808</v>
      </c>
      <c r="W20" s="58">
        <f t="shared" si="6"/>
        <v>5.015132974061026</v>
      </c>
      <c r="X20" s="58">
        <f t="shared" si="6"/>
        <v>5.1204507665163073</v>
      </c>
      <c r="Y20" s="58">
        <f t="shared" si="6"/>
        <v>5.2279802326131497</v>
      </c>
      <c r="Z20" s="86"/>
    </row>
    <row r="21" spans="1:26" x14ac:dyDescent="0.2">
      <c r="A21" s="1"/>
      <c r="B21" s="514" t="s">
        <v>100</v>
      </c>
      <c r="C21" s="514"/>
      <c r="D21" s="514"/>
      <c r="E21" s="60">
        <f t="shared" ref="E21:Y21" si="7">E20-Gasoline_Tax_Exemption</f>
        <v>3.45</v>
      </c>
      <c r="F21" s="60">
        <f t="shared" si="7"/>
        <v>3.5224500000000001</v>
      </c>
      <c r="G21" s="60">
        <f t="shared" si="7"/>
        <v>3.5964214500000002</v>
      </c>
      <c r="H21" s="60">
        <f t="shared" si="7"/>
        <v>3.6719463004500001</v>
      </c>
      <c r="I21" s="60">
        <f t="shared" si="7"/>
        <v>3.7490571727594499</v>
      </c>
      <c r="J21" s="60">
        <f t="shared" si="7"/>
        <v>3.8277873733873986</v>
      </c>
      <c r="K21" s="60">
        <f t="shared" si="7"/>
        <v>3.9081709082285339</v>
      </c>
      <c r="L21" s="60">
        <f t="shared" si="7"/>
        <v>3.9902424973013328</v>
      </c>
      <c r="M21" s="60">
        <f t="shared" si="7"/>
        <v>4.0740375897446608</v>
      </c>
      <c r="N21" s="60">
        <f t="shared" si="7"/>
        <v>4.1595923791292986</v>
      </c>
      <c r="O21" s="60">
        <f t="shared" si="7"/>
        <v>4.2469438190910136</v>
      </c>
      <c r="P21" s="60">
        <f t="shared" si="7"/>
        <v>4.3361296392919249</v>
      </c>
      <c r="Q21" s="60">
        <f t="shared" si="7"/>
        <v>4.4271883617170555</v>
      </c>
      <c r="R21" s="60">
        <f t="shared" si="7"/>
        <v>4.520159317313114</v>
      </c>
      <c r="S21" s="60">
        <f t="shared" si="7"/>
        <v>4.6150826629766897</v>
      </c>
      <c r="T21" s="60">
        <f t="shared" si="7"/>
        <v>4.7119993988992004</v>
      </c>
      <c r="U21" s="60">
        <f t="shared" si="7"/>
        <v>4.8109513862760833</v>
      </c>
      <c r="V21" s="60">
        <f t="shared" si="7"/>
        <v>4.9119813653878808</v>
      </c>
      <c r="W21" s="60">
        <f t="shared" si="7"/>
        <v>5.015132974061026</v>
      </c>
      <c r="X21" s="60">
        <f t="shared" si="7"/>
        <v>5.1204507665163073</v>
      </c>
      <c r="Y21" s="60">
        <f t="shared" si="7"/>
        <v>5.2279802326131497</v>
      </c>
      <c r="Z21" s="86"/>
    </row>
    <row r="22" spans="1:26" x14ac:dyDescent="0.2">
      <c r="A22" s="1"/>
      <c r="B22" s="321" t="s">
        <v>101</v>
      </c>
      <c r="C22" s="321"/>
      <c r="D22" s="321"/>
      <c r="E22" s="50">
        <f>('Vehicle &amp; Station Calculations'!E$20*'Vehicle &amp; Station Calculations'!$E$12*('Vehicle &amp; Station Calculations'!E$38/12))+('Vehicle &amp; Station Calculations'!E$21*'Vehicle &amp; Station Calculations'!$F$12*('Vehicle &amp; Station Calculations'!E$39/12))+('Vehicle &amp; Station Calculations'!E$22*'Vehicle &amp; Station Calculations'!$G$12*('Vehicle &amp; Station Calculations'!E$40/12))+('Vehicle &amp; Station Calculations'!E$23*'Vehicle &amp; Station Calculations'!$H$12*('Vehicle &amp; Station Calculations'!E$41/12))+('Vehicle &amp; Station Calculations'!E$24*'Vehicle &amp; Station Calculations'!$I$12*('Vehicle &amp; Station Calculations'!E$42/12))+('Vehicle &amp; Station Calculations'!E$25*'Vehicle &amp; Station Calculations'!$J$12*('Vehicle &amp; Station Calculations'!E$43/12))+('Vehicle &amp; Station Calculations'!E$26*'Vehicle &amp; Station Calculations'!$K$12*('Vehicle &amp; Station Calculations'!E$44/12))</f>
        <v>0</v>
      </c>
      <c r="F22" s="50">
        <f>('Vehicle &amp; Station Calculations'!F$20*'Vehicle &amp; Station Calculations'!$E$12*('Vehicle &amp; Station Calculations'!F$38/12))+('Vehicle &amp; Station Calculations'!F$21*'Vehicle &amp; Station Calculations'!$F$12*('Vehicle &amp; Station Calculations'!F$39/12))+('Vehicle &amp; Station Calculations'!F$22*'Vehicle &amp; Station Calculations'!$G$12*('Vehicle &amp; Station Calculations'!F$40/12))+('Vehicle &amp; Station Calculations'!F$23*'Vehicle &amp; Station Calculations'!$H$12*('Vehicle &amp; Station Calculations'!F$41/12))+('Vehicle &amp; Station Calculations'!F$24*'Vehicle &amp; Station Calculations'!$I$12*('Vehicle &amp; Station Calculations'!F$42/12))+('Vehicle &amp; Station Calculations'!F$25*'Vehicle &amp; Station Calculations'!$J$12*('Vehicle &amp; Station Calculations'!F$43/12))+('Vehicle &amp; Station Calculations'!F$26*'Vehicle &amp; Station Calculations'!$K$12*('Vehicle &amp; Station Calculations'!F$44/12))</f>
        <v>0</v>
      </c>
      <c r="G22" s="50">
        <f>('Vehicle &amp; Station Calculations'!G$20*'Vehicle &amp; Station Calculations'!$E$12*('Vehicle &amp; Station Calculations'!G$38/12))+('Vehicle &amp; Station Calculations'!G$21*'Vehicle &amp; Station Calculations'!$F$12*('Vehicle &amp; Station Calculations'!G$39/12))+('Vehicle &amp; Station Calculations'!G$22*'Vehicle &amp; Station Calculations'!$G$12*('Vehicle &amp; Station Calculations'!G$40/12))+('Vehicle &amp; Station Calculations'!G$23*'Vehicle &amp; Station Calculations'!$H$12*('Vehicle &amp; Station Calculations'!G$41/12))+('Vehicle &amp; Station Calculations'!G$24*'Vehicle &amp; Station Calculations'!$I$12*('Vehicle &amp; Station Calculations'!G$42/12))+('Vehicle &amp; Station Calculations'!G$25*'Vehicle &amp; Station Calculations'!$J$12*('Vehicle &amp; Station Calculations'!G$43/12))+('Vehicle &amp; Station Calculations'!G$26*'Vehicle &amp; Station Calculations'!$K$12*('Vehicle &amp; Station Calculations'!G$44/12))</f>
        <v>0</v>
      </c>
      <c r="H22" s="50">
        <f>('Vehicle &amp; Station Calculations'!H$20*'Vehicle &amp; Station Calculations'!$E$12*('Vehicle &amp; Station Calculations'!H$38/12))+('Vehicle &amp; Station Calculations'!H$21*'Vehicle &amp; Station Calculations'!$F$12*('Vehicle &amp; Station Calculations'!H$39/12))+('Vehicle &amp; Station Calculations'!H$22*'Vehicle &amp; Station Calculations'!$G$12*('Vehicle &amp; Station Calculations'!H$40/12))+('Vehicle &amp; Station Calculations'!H$23*'Vehicle &amp; Station Calculations'!$H$12*('Vehicle &amp; Station Calculations'!H$41/12))+('Vehicle &amp; Station Calculations'!H$24*'Vehicle &amp; Station Calculations'!$I$12*('Vehicle &amp; Station Calculations'!H$42/12))+('Vehicle &amp; Station Calculations'!H$25*'Vehicle &amp; Station Calculations'!$J$12*('Vehicle &amp; Station Calculations'!H$43/12))+('Vehicle &amp; Station Calculations'!H$26*'Vehicle &amp; Station Calculations'!$K$12*('Vehicle &amp; Station Calculations'!H$44/12))</f>
        <v>0</v>
      </c>
      <c r="I22" s="50">
        <f>('Vehicle &amp; Station Calculations'!I$20*'Vehicle &amp; Station Calculations'!$E$12*('Vehicle &amp; Station Calculations'!I$38/12))+('Vehicle &amp; Station Calculations'!I$21*'Vehicle &amp; Station Calculations'!$F$12*('Vehicle &amp; Station Calculations'!I$39/12))+('Vehicle &amp; Station Calculations'!I$22*'Vehicle &amp; Station Calculations'!$G$12*('Vehicle &amp; Station Calculations'!I$40/12))+('Vehicle &amp; Station Calculations'!I$23*'Vehicle &amp; Station Calculations'!$H$12*('Vehicle &amp; Station Calculations'!I$41/12))+('Vehicle &amp; Station Calculations'!I$24*'Vehicle &amp; Station Calculations'!$I$12*('Vehicle &amp; Station Calculations'!I$42/12))+('Vehicle &amp; Station Calculations'!I$25*'Vehicle &amp; Station Calculations'!$J$12*('Vehicle &amp; Station Calculations'!I$43/12))+('Vehicle &amp; Station Calculations'!I$26*'Vehicle &amp; Station Calculations'!$K$12*('Vehicle &amp; Station Calculations'!I$44/12))</f>
        <v>0</v>
      </c>
      <c r="J22" s="50">
        <f>('Vehicle &amp; Station Calculations'!J$20*'Vehicle &amp; Station Calculations'!$E$12*('Vehicle &amp; Station Calculations'!J$38/12))+('Vehicle &amp; Station Calculations'!J$21*'Vehicle &amp; Station Calculations'!$F$12*('Vehicle &amp; Station Calculations'!J$39/12))+('Vehicle &amp; Station Calculations'!J$22*'Vehicle &amp; Station Calculations'!$G$12*('Vehicle &amp; Station Calculations'!J$40/12))+('Vehicle &amp; Station Calculations'!J$23*'Vehicle &amp; Station Calculations'!$H$12*('Vehicle &amp; Station Calculations'!J$41/12))+('Vehicle &amp; Station Calculations'!J$24*'Vehicle &amp; Station Calculations'!$I$12*('Vehicle &amp; Station Calculations'!J$42/12))+('Vehicle &amp; Station Calculations'!J$25*'Vehicle &amp; Station Calculations'!$J$12*('Vehicle &amp; Station Calculations'!J$43/12))+('Vehicle &amp; Station Calculations'!J$26*'Vehicle &amp; Station Calculations'!$K$12*('Vehicle &amp; Station Calculations'!J$44/12))</f>
        <v>0</v>
      </c>
      <c r="K22" s="50">
        <f>('Vehicle &amp; Station Calculations'!K$20*'Vehicle &amp; Station Calculations'!$E$12*('Vehicle &amp; Station Calculations'!K$38/12))+('Vehicle &amp; Station Calculations'!K$21*'Vehicle &amp; Station Calculations'!$F$12*('Vehicle &amp; Station Calculations'!K$39/12))+('Vehicle &amp; Station Calculations'!K$22*'Vehicle &amp; Station Calculations'!$G$12*('Vehicle &amp; Station Calculations'!K$40/12))+('Vehicle &amp; Station Calculations'!K$23*'Vehicle &amp; Station Calculations'!$H$12*('Vehicle &amp; Station Calculations'!K$41/12))+('Vehicle &amp; Station Calculations'!K$24*'Vehicle &amp; Station Calculations'!$I$12*('Vehicle &amp; Station Calculations'!K$42/12))+('Vehicle &amp; Station Calculations'!K$25*'Vehicle &amp; Station Calculations'!$J$12*('Vehicle &amp; Station Calculations'!K$43/12))+('Vehicle &amp; Station Calculations'!K$26*'Vehicle &amp; Station Calculations'!$K$12*('Vehicle &amp; Station Calculations'!K$44/12))</f>
        <v>0</v>
      </c>
      <c r="L22" s="50">
        <f>('Vehicle &amp; Station Calculations'!L$20*'Vehicle &amp; Station Calculations'!$E$12*('Vehicle &amp; Station Calculations'!L$38/12))+('Vehicle &amp; Station Calculations'!L$21*'Vehicle &amp; Station Calculations'!$F$12*('Vehicle &amp; Station Calculations'!L$39/12))+('Vehicle &amp; Station Calculations'!L$22*'Vehicle &amp; Station Calculations'!$G$12*('Vehicle &amp; Station Calculations'!L$40/12))+('Vehicle &amp; Station Calculations'!L$23*'Vehicle &amp; Station Calculations'!$H$12*('Vehicle &amp; Station Calculations'!L$41/12))+('Vehicle &amp; Station Calculations'!L$24*'Vehicle &amp; Station Calculations'!$I$12*('Vehicle &amp; Station Calculations'!L$42/12))+('Vehicle &amp; Station Calculations'!L$25*'Vehicle &amp; Station Calculations'!$J$12*('Vehicle &amp; Station Calculations'!L$43/12))+('Vehicle &amp; Station Calculations'!L$26*'Vehicle &amp; Station Calculations'!$K$12*('Vehicle &amp; Station Calculations'!L$44/12))</f>
        <v>0</v>
      </c>
      <c r="M22" s="50">
        <f>('Vehicle &amp; Station Calculations'!M$20*'Vehicle &amp; Station Calculations'!$E$12*('Vehicle &amp; Station Calculations'!M$38/12))+('Vehicle &amp; Station Calculations'!M$21*'Vehicle &amp; Station Calculations'!$F$12*('Vehicle &amp; Station Calculations'!M$39/12))+('Vehicle &amp; Station Calculations'!M$22*'Vehicle &amp; Station Calculations'!$G$12*('Vehicle &amp; Station Calculations'!M$40/12))+('Vehicle &amp; Station Calculations'!M$23*'Vehicle &amp; Station Calculations'!$H$12*('Vehicle &amp; Station Calculations'!M$41/12))+('Vehicle &amp; Station Calculations'!M$24*'Vehicle &amp; Station Calculations'!$I$12*('Vehicle &amp; Station Calculations'!M$42/12))+('Vehicle &amp; Station Calculations'!M$25*'Vehicle &amp; Station Calculations'!$J$12*('Vehicle &amp; Station Calculations'!M$43/12))+('Vehicle &amp; Station Calculations'!M$26*'Vehicle &amp; Station Calculations'!$K$12*('Vehicle &amp; Station Calculations'!M$44/12))</f>
        <v>0</v>
      </c>
      <c r="N22" s="50">
        <f>('Vehicle &amp; Station Calculations'!N$20*'Vehicle &amp; Station Calculations'!$E$12*('Vehicle &amp; Station Calculations'!N$38/12))+('Vehicle &amp; Station Calculations'!N$21*'Vehicle &amp; Station Calculations'!$F$12*('Vehicle &amp; Station Calculations'!N$39/12))+('Vehicle &amp; Station Calculations'!N$22*'Vehicle &amp; Station Calculations'!$G$12*('Vehicle &amp; Station Calculations'!N$40/12))+('Vehicle &amp; Station Calculations'!N$23*'Vehicle &amp; Station Calculations'!$H$12*('Vehicle &amp; Station Calculations'!N$41/12))+('Vehicle &amp; Station Calculations'!N$24*'Vehicle &amp; Station Calculations'!$I$12*('Vehicle &amp; Station Calculations'!N$42/12))+('Vehicle &amp; Station Calculations'!N$25*'Vehicle &amp; Station Calculations'!$J$12*('Vehicle &amp; Station Calculations'!N$43/12))+('Vehicle &amp; Station Calculations'!N$26*'Vehicle &amp; Station Calculations'!$K$12*('Vehicle &amp; Station Calculations'!N$44/12))</f>
        <v>0</v>
      </c>
      <c r="O22" s="50">
        <f>('Vehicle &amp; Station Calculations'!O$20*'Vehicle &amp; Station Calculations'!$E$12*('Vehicle &amp; Station Calculations'!O$38/12))+('Vehicle &amp; Station Calculations'!O$21*'Vehicle &amp; Station Calculations'!$F$12*('Vehicle &amp; Station Calculations'!O$39/12))+('Vehicle &amp; Station Calculations'!O$22*'Vehicle &amp; Station Calculations'!$G$12*('Vehicle &amp; Station Calculations'!O$40/12))+('Vehicle &amp; Station Calculations'!O$23*'Vehicle &amp; Station Calculations'!$H$12*('Vehicle &amp; Station Calculations'!O$41/12))+('Vehicle &amp; Station Calculations'!O$24*'Vehicle &amp; Station Calculations'!$I$12*('Vehicle &amp; Station Calculations'!O$42/12))+('Vehicle &amp; Station Calculations'!O$25*'Vehicle &amp; Station Calculations'!$J$12*('Vehicle &amp; Station Calculations'!O$43/12))+('Vehicle &amp; Station Calculations'!O$26*'Vehicle &amp; Station Calculations'!$K$12*('Vehicle &amp; Station Calculations'!O$44/12))</f>
        <v>0</v>
      </c>
      <c r="P22" s="50">
        <f>('Vehicle &amp; Station Calculations'!P$20*'Vehicle &amp; Station Calculations'!$E$12*('Vehicle &amp; Station Calculations'!P$38/12))+('Vehicle &amp; Station Calculations'!P$21*'Vehicle &amp; Station Calculations'!$F$12*('Vehicle &amp; Station Calculations'!P$39/12))+('Vehicle &amp; Station Calculations'!P$22*'Vehicle &amp; Station Calculations'!$G$12*('Vehicle &amp; Station Calculations'!P$40/12))+('Vehicle &amp; Station Calculations'!P$23*'Vehicle &amp; Station Calculations'!$H$12*('Vehicle &amp; Station Calculations'!P$41/12))+('Vehicle &amp; Station Calculations'!P$24*'Vehicle &amp; Station Calculations'!$I$12*('Vehicle &amp; Station Calculations'!P$42/12))+('Vehicle &amp; Station Calculations'!P$25*'Vehicle &amp; Station Calculations'!$J$12*('Vehicle &amp; Station Calculations'!P$43/12))+('Vehicle &amp; Station Calculations'!P$26*'Vehicle &amp; Station Calculations'!$K$12*('Vehicle &amp; Station Calculations'!P$44/12))</f>
        <v>0</v>
      </c>
      <c r="Q22" s="50">
        <f>('Vehicle &amp; Station Calculations'!Q$20*'Vehicle &amp; Station Calculations'!$E$12*('Vehicle &amp; Station Calculations'!Q$38/12))+('Vehicle &amp; Station Calculations'!Q$21*'Vehicle &amp; Station Calculations'!$F$12*('Vehicle &amp; Station Calculations'!Q$39/12))+('Vehicle &amp; Station Calculations'!Q$22*'Vehicle &amp; Station Calculations'!$G$12*('Vehicle &amp; Station Calculations'!Q$40/12))+('Vehicle &amp; Station Calculations'!Q$23*'Vehicle &amp; Station Calculations'!$H$12*('Vehicle &amp; Station Calculations'!Q$41/12))+('Vehicle &amp; Station Calculations'!Q$24*'Vehicle &amp; Station Calculations'!$I$12*('Vehicle &amp; Station Calculations'!Q$42/12))+('Vehicle &amp; Station Calculations'!Q$25*'Vehicle &amp; Station Calculations'!$J$12*('Vehicle &amp; Station Calculations'!Q$43/12))+('Vehicle &amp; Station Calculations'!Q$26*'Vehicle &amp; Station Calculations'!$K$12*('Vehicle &amp; Station Calculations'!Q$44/12))</f>
        <v>0</v>
      </c>
      <c r="R22" s="50">
        <f>('Vehicle &amp; Station Calculations'!R$20*'Vehicle &amp; Station Calculations'!$E$12*('Vehicle &amp; Station Calculations'!R$38/12))+('Vehicle &amp; Station Calculations'!R$21*'Vehicle &amp; Station Calculations'!$F$12*('Vehicle &amp; Station Calculations'!R$39/12))+('Vehicle &amp; Station Calculations'!R$22*'Vehicle &amp; Station Calculations'!$G$12*('Vehicle &amp; Station Calculations'!R$40/12))+('Vehicle &amp; Station Calculations'!R$23*'Vehicle &amp; Station Calculations'!$H$12*('Vehicle &amp; Station Calculations'!R$41/12))+('Vehicle &amp; Station Calculations'!R$24*'Vehicle &amp; Station Calculations'!$I$12*('Vehicle &amp; Station Calculations'!R$42/12))+('Vehicle &amp; Station Calculations'!R$25*'Vehicle &amp; Station Calculations'!$J$12*('Vehicle &amp; Station Calculations'!R$43/12))+('Vehicle &amp; Station Calculations'!R$26*'Vehicle &amp; Station Calculations'!$K$12*('Vehicle &amp; Station Calculations'!R$44/12))</f>
        <v>0</v>
      </c>
      <c r="S22" s="50">
        <f>('Vehicle &amp; Station Calculations'!S$20*'Vehicle &amp; Station Calculations'!$E$12*('Vehicle &amp; Station Calculations'!S$38/12))+('Vehicle &amp; Station Calculations'!S$21*'Vehicle &amp; Station Calculations'!$F$12*('Vehicle &amp; Station Calculations'!S$39/12))+('Vehicle &amp; Station Calculations'!S$22*'Vehicle &amp; Station Calculations'!$G$12*('Vehicle &amp; Station Calculations'!S$40/12))+('Vehicle &amp; Station Calculations'!S$23*'Vehicle &amp; Station Calculations'!$H$12*('Vehicle &amp; Station Calculations'!S$41/12))+('Vehicle &amp; Station Calculations'!S$24*'Vehicle &amp; Station Calculations'!$I$12*('Vehicle &amp; Station Calculations'!S$42/12))+('Vehicle &amp; Station Calculations'!S$25*'Vehicle &amp; Station Calculations'!$J$12*('Vehicle &amp; Station Calculations'!S$43/12))+('Vehicle &amp; Station Calculations'!S$26*'Vehicle &amp; Station Calculations'!$K$12*('Vehicle &amp; Station Calculations'!S$44/12))</f>
        <v>0</v>
      </c>
      <c r="T22" s="50">
        <f>('Vehicle &amp; Station Calculations'!T$20*'Vehicle &amp; Station Calculations'!$E$12*('Vehicle &amp; Station Calculations'!T$38/12))+('Vehicle &amp; Station Calculations'!T$21*'Vehicle &amp; Station Calculations'!$F$12*('Vehicle &amp; Station Calculations'!T$39/12))+('Vehicle &amp; Station Calculations'!T$22*'Vehicle &amp; Station Calculations'!$G$12*('Vehicle &amp; Station Calculations'!T$40/12))+('Vehicle &amp; Station Calculations'!T$23*'Vehicle &amp; Station Calculations'!$H$12*('Vehicle &amp; Station Calculations'!T$41/12))+('Vehicle &amp; Station Calculations'!T$24*'Vehicle &amp; Station Calculations'!$I$12*('Vehicle &amp; Station Calculations'!T$42/12))+('Vehicle &amp; Station Calculations'!T$25*'Vehicle &amp; Station Calculations'!$J$12*('Vehicle &amp; Station Calculations'!T$43/12))+('Vehicle &amp; Station Calculations'!T$26*'Vehicle &amp; Station Calculations'!$K$12*('Vehicle &amp; Station Calculations'!T$44/12))</f>
        <v>0</v>
      </c>
      <c r="U22" s="50">
        <f>('Vehicle &amp; Station Calculations'!U$20*'Vehicle &amp; Station Calculations'!$E$12*('Vehicle &amp; Station Calculations'!U$38/12))+('Vehicle &amp; Station Calculations'!U$21*'Vehicle &amp; Station Calculations'!$F$12*('Vehicle &amp; Station Calculations'!U$39/12))+('Vehicle &amp; Station Calculations'!U$22*'Vehicle &amp; Station Calculations'!$G$12*('Vehicle &amp; Station Calculations'!U$40/12))+('Vehicle &amp; Station Calculations'!U$23*'Vehicle &amp; Station Calculations'!$H$12*('Vehicle &amp; Station Calculations'!U$41/12))+('Vehicle &amp; Station Calculations'!U$24*'Vehicle &amp; Station Calculations'!$I$12*('Vehicle &amp; Station Calculations'!U$42/12))+('Vehicle &amp; Station Calculations'!U$25*'Vehicle &amp; Station Calculations'!$J$12*('Vehicle &amp; Station Calculations'!U$43/12))+('Vehicle &amp; Station Calculations'!U$26*'Vehicle &amp; Station Calculations'!$K$12*('Vehicle &amp; Station Calculations'!U$44/12))</f>
        <v>0</v>
      </c>
      <c r="V22" s="50">
        <f>('Vehicle &amp; Station Calculations'!V$20*'Vehicle &amp; Station Calculations'!$E$12*('Vehicle &amp; Station Calculations'!V$38/12))+('Vehicle &amp; Station Calculations'!V$21*'Vehicle &amp; Station Calculations'!$F$12*('Vehicle &amp; Station Calculations'!V$39/12))+('Vehicle &amp; Station Calculations'!V$22*'Vehicle &amp; Station Calculations'!$G$12*('Vehicle &amp; Station Calculations'!V$40/12))+('Vehicle &amp; Station Calculations'!V$23*'Vehicle &amp; Station Calculations'!$H$12*('Vehicle &amp; Station Calculations'!V$41/12))+('Vehicle &amp; Station Calculations'!V$24*'Vehicle &amp; Station Calculations'!$I$12*('Vehicle &amp; Station Calculations'!V$42/12))+('Vehicle &amp; Station Calculations'!V$25*'Vehicle &amp; Station Calculations'!$J$12*('Vehicle &amp; Station Calculations'!V$43/12))+('Vehicle &amp; Station Calculations'!V$26*'Vehicle &amp; Station Calculations'!$K$12*('Vehicle &amp; Station Calculations'!V$44/12))</f>
        <v>0</v>
      </c>
      <c r="W22" s="50">
        <f>('Vehicle &amp; Station Calculations'!W$20*'Vehicle &amp; Station Calculations'!$E$12*('Vehicle &amp; Station Calculations'!W$38/12))+('Vehicle &amp; Station Calculations'!W$21*'Vehicle &amp; Station Calculations'!$F$12*('Vehicle &amp; Station Calculations'!W$39/12))+('Vehicle &amp; Station Calculations'!W$22*'Vehicle &amp; Station Calculations'!$G$12*('Vehicle &amp; Station Calculations'!W$40/12))+('Vehicle &amp; Station Calculations'!W$23*'Vehicle &amp; Station Calculations'!$H$12*('Vehicle &amp; Station Calculations'!W$41/12))+('Vehicle &amp; Station Calculations'!W$24*'Vehicle &amp; Station Calculations'!$I$12*('Vehicle &amp; Station Calculations'!W$42/12))+('Vehicle &amp; Station Calculations'!W$25*'Vehicle &amp; Station Calculations'!$J$12*('Vehicle &amp; Station Calculations'!W$43/12))+('Vehicle &amp; Station Calculations'!W$26*'Vehicle &amp; Station Calculations'!$K$12*('Vehicle &amp; Station Calculations'!W$44/12))</f>
        <v>0</v>
      </c>
      <c r="X22" s="50">
        <f>('Vehicle &amp; Station Calculations'!X$20*'Vehicle &amp; Station Calculations'!$E$12*('Vehicle &amp; Station Calculations'!X$38/12))+('Vehicle &amp; Station Calculations'!X$21*'Vehicle &amp; Station Calculations'!$F$12*('Vehicle &amp; Station Calculations'!X$39/12))+('Vehicle &amp; Station Calculations'!X$22*'Vehicle &amp; Station Calculations'!$G$12*('Vehicle &amp; Station Calculations'!X$40/12))+('Vehicle &amp; Station Calculations'!X$23*'Vehicle &amp; Station Calculations'!$H$12*('Vehicle &amp; Station Calculations'!X$41/12))+('Vehicle &amp; Station Calculations'!X$24*'Vehicle &amp; Station Calculations'!$I$12*('Vehicle &amp; Station Calculations'!X$42/12))+('Vehicle &amp; Station Calculations'!X$25*'Vehicle &amp; Station Calculations'!$J$12*('Vehicle &amp; Station Calculations'!X$43/12))+('Vehicle &amp; Station Calculations'!X$26*'Vehicle &amp; Station Calculations'!$K$12*('Vehicle &amp; Station Calculations'!X$44/12))</f>
        <v>0</v>
      </c>
      <c r="Y22" s="50">
        <f>('Vehicle &amp; Station Calculations'!Y$20*'Vehicle &amp; Station Calculations'!$E$12*('Vehicle &amp; Station Calculations'!Y$38/12))+('Vehicle &amp; Station Calculations'!Y$21*'Vehicle &amp; Station Calculations'!$F$12*('Vehicle &amp; Station Calculations'!Y$39/12))+('Vehicle &amp; Station Calculations'!Y$22*'Vehicle &amp; Station Calculations'!$G$12*('Vehicle &amp; Station Calculations'!Y$40/12))+('Vehicle &amp; Station Calculations'!Y$23*'Vehicle &amp; Station Calculations'!$H$12*('Vehicle &amp; Station Calculations'!Y$41/12))+('Vehicle &amp; Station Calculations'!Y$24*'Vehicle &amp; Station Calculations'!$I$12*('Vehicle &amp; Station Calculations'!Y$42/12))+('Vehicle &amp; Station Calculations'!Y$25*'Vehicle &amp; Station Calculations'!$J$12*('Vehicle &amp; Station Calculations'!Y$43/12))+('Vehicle &amp; Station Calculations'!Y$26*'Vehicle &amp; Station Calculations'!$K$12*('Vehicle &amp; Station Calculations'!Y$44/12))</f>
        <v>0</v>
      </c>
      <c r="Z22" s="86"/>
    </row>
    <row r="23" spans="1:26" s="88" customFormat="1" x14ac:dyDescent="0.2">
      <c r="A23" s="87"/>
      <c r="B23" s="524" t="s">
        <v>102</v>
      </c>
      <c r="C23" s="524"/>
      <c r="D23" s="524"/>
      <c r="E23" s="93">
        <f>(('Vehicle &amp; Station Calculations'!E$20*'Vehicle &amp; Station Calculations'!$E$8*'Vehicle &amp; Station Calculations'!E$38)+('Vehicle &amp; Station Calculations'!E$21*'Vehicle &amp; Station Calculations'!$F$8*'Vehicle &amp; Station Calculations'!E$39)+('Vehicle &amp; Station Calculations'!E$22*'Vehicle &amp; Station Calculations'!$G$8*'Vehicle &amp; Station Calculations'!E$40)+('Vehicle &amp; Station Calculations'!E$23*'Vehicle &amp; Station Calculations'!$H$8*'Vehicle &amp; Station Calculations'!E$41)+('Vehicle &amp; Station Calculations'!E$24*'Vehicle &amp; Station Calculations'!$I$8*'Vehicle &amp; Station Calculations'!E$42)+('Vehicle &amp; Station Calculations'!E$25*'Vehicle &amp; Station Calculations'!$J$8*'Vehicle &amp; Station Calculations'!E$43)+('Vehicle &amp; Station Calculations'!E$26*'Vehicle &amp; Station Calculations'!$K$8*'Vehicle &amp; Station Calculations'!E$44))*(E17-Realized_Excise_Tax_Credit)</f>
        <v>0</v>
      </c>
      <c r="F23" s="93">
        <f>(('Vehicle &amp; Station Calculations'!F$20*'Vehicle &amp; Station Calculations'!$E$8*'Vehicle &amp; Station Calculations'!F$38)+('Vehicle &amp; Station Calculations'!F$21*'Vehicle &amp; Station Calculations'!$F$8*'Vehicle &amp; Station Calculations'!F$39)+('Vehicle &amp; Station Calculations'!F$22*'Vehicle &amp; Station Calculations'!$G$8*'Vehicle &amp; Station Calculations'!F$40)+('Vehicle &amp; Station Calculations'!F$23*'Vehicle &amp; Station Calculations'!$H$8*'Vehicle &amp; Station Calculations'!F$41)+('Vehicle &amp; Station Calculations'!F$24*'Vehicle &amp; Station Calculations'!$I$8*'Vehicle &amp; Station Calculations'!F$42)+('Vehicle &amp; Station Calculations'!F$25*'Vehicle &amp; Station Calculations'!$J$8*'Vehicle &amp; Station Calculations'!F$43)+('Vehicle &amp; Station Calculations'!F$26*'Vehicle &amp; Station Calculations'!$K$8*'Vehicle &amp; Station Calculations'!F$44))*(F17-Realized_Excise_Tax_Credit)</f>
        <v>0</v>
      </c>
      <c r="G23" s="93">
        <f>(('Vehicle &amp; Station Calculations'!G$20*'Vehicle &amp; Station Calculations'!$E$8*'Vehicle &amp; Station Calculations'!G$38)+('Vehicle &amp; Station Calculations'!G$21*'Vehicle &amp; Station Calculations'!$F$8*'Vehicle &amp; Station Calculations'!G$39)+('Vehicle &amp; Station Calculations'!G$22*'Vehicle &amp; Station Calculations'!$G$8*'Vehicle &amp; Station Calculations'!G$40)+('Vehicle &amp; Station Calculations'!G$23*'Vehicle &amp; Station Calculations'!$H$8*'Vehicle &amp; Station Calculations'!G$41)+('Vehicle &amp; Station Calculations'!G$24*'Vehicle &amp; Station Calculations'!$I$8*'Vehicle &amp; Station Calculations'!G$42)+('Vehicle &amp; Station Calculations'!G$25*'Vehicle &amp; Station Calculations'!$J$8*'Vehicle &amp; Station Calculations'!G$43)+('Vehicle &amp; Station Calculations'!G$26*'Vehicle &amp; Station Calculations'!$K$8*'Vehicle &amp; Station Calculations'!G$44))*(G17-Realized_Excise_Tax_Credit)</f>
        <v>0</v>
      </c>
      <c r="H23" s="93">
        <f>(('Vehicle &amp; Station Calculations'!H$20*'Vehicle &amp; Station Calculations'!$E$8*'Vehicle &amp; Station Calculations'!H$38)+('Vehicle &amp; Station Calculations'!H$21*'Vehicle &amp; Station Calculations'!$F$8*'Vehicle &amp; Station Calculations'!H$39)+('Vehicle &amp; Station Calculations'!H$22*'Vehicle &amp; Station Calculations'!$G$8*'Vehicle &amp; Station Calculations'!H$40)+('Vehicle &amp; Station Calculations'!H$23*'Vehicle &amp; Station Calculations'!$H$8*'Vehicle &amp; Station Calculations'!H$41)+('Vehicle &amp; Station Calculations'!H$24*'Vehicle &amp; Station Calculations'!$I$8*'Vehicle &amp; Station Calculations'!H$42)+('Vehicle &amp; Station Calculations'!H$25*'Vehicle &amp; Station Calculations'!$J$8*'Vehicle &amp; Station Calculations'!H$43)+('Vehicle &amp; Station Calculations'!H$26*'Vehicle &amp; Station Calculations'!$K$8*'Vehicle &amp; Station Calculations'!H$44))*(H17-Realized_Excise_Tax_Credit)</f>
        <v>0</v>
      </c>
      <c r="I23" s="93">
        <f>(('Vehicle &amp; Station Calculations'!I$20*'Vehicle &amp; Station Calculations'!$E$8*'Vehicle &amp; Station Calculations'!I$38)+('Vehicle &amp; Station Calculations'!I$21*'Vehicle &amp; Station Calculations'!$F$8*'Vehicle &amp; Station Calculations'!I$39)+('Vehicle &amp; Station Calculations'!I$22*'Vehicle &amp; Station Calculations'!$G$8*'Vehicle &amp; Station Calculations'!I$40)+('Vehicle &amp; Station Calculations'!I$23*'Vehicle &amp; Station Calculations'!$H$8*'Vehicle &amp; Station Calculations'!I$41)+('Vehicle &amp; Station Calculations'!I$24*'Vehicle &amp; Station Calculations'!$I$8*'Vehicle &amp; Station Calculations'!I$42)+('Vehicle &amp; Station Calculations'!I$25*'Vehicle &amp; Station Calculations'!$J$8*'Vehicle &amp; Station Calculations'!I$43)+('Vehicle &amp; Station Calculations'!I$26*'Vehicle &amp; Station Calculations'!$K$8*'Vehicle &amp; Station Calculations'!I$44))*(I17-Realized_Excise_Tax_Credit)</f>
        <v>0</v>
      </c>
      <c r="J23" s="93">
        <f>(('Vehicle &amp; Station Calculations'!J$20*'Vehicle &amp; Station Calculations'!$E$8*'Vehicle &amp; Station Calculations'!J$38)+('Vehicle &amp; Station Calculations'!J$21*'Vehicle &amp; Station Calculations'!$F$8*'Vehicle &amp; Station Calculations'!J$39)+('Vehicle &amp; Station Calculations'!J$22*'Vehicle &amp; Station Calculations'!$G$8*'Vehicle &amp; Station Calculations'!J$40)+('Vehicle &amp; Station Calculations'!J$23*'Vehicle &amp; Station Calculations'!$H$8*'Vehicle &amp; Station Calculations'!J$41)+('Vehicle &amp; Station Calculations'!J$24*'Vehicle &amp; Station Calculations'!$I$8*'Vehicle &amp; Station Calculations'!J$42)+('Vehicle &amp; Station Calculations'!J$25*'Vehicle &amp; Station Calculations'!$J$8*'Vehicle &amp; Station Calculations'!J$43)+('Vehicle &amp; Station Calculations'!J$26*'Vehicle &amp; Station Calculations'!$K$8*'Vehicle &amp; Station Calculations'!J$44))*(J17-Realized_Excise_Tax_Credit)</f>
        <v>0</v>
      </c>
      <c r="K23" s="93">
        <f>(('Vehicle &amp; Station Calculations'!K$20*'Vehicle &amp; Station Calculations'!$E$8*'Vehicle &amp; Station Calculations'!K$38)+('Vehicle &amp; Station Calculations'!K$21*'Vehicle &amp; Station Calculations'!$F$8*'Vehicle &amp; Station Calculations'!K$39)+('Vehicle &amp; Station Calculations'!K$22*'Vehicle &amp; Station Calculations'!$G$8*'Vehicle &amp; Station Calculations'!K$40)+('Vehicle &amp; Station Calculations'!K$23*'Vehicle &amp; Station Calculations'!$H$8*'Vehicle &amp; Station Calculations'!K$41)+('Vehicle &amp; Station Calculations'!K$24*'Vehicle &amp; Station Calculations'!$I$8*'Vehicle &amp; Station Calculations'!K$42)+('Vehicle &amp; Station Calculations'!K$25*'Vehicle &amp; Station Calculations'!$J$8*'Vehicle &amp; Station Calculations'!K$43)+('Vehicle &amp; Station Calculations'!K$26*'Vehicle &amp; Station Calculations'!$K$8*'Vehicle &amp; Station Calculations'!K$44))*(K17-Realized_Excise_Tax_Credit)</f>
        <v>0</v>
      </c>
      <c r="L23" s="93">
        <f>(('Vehicle &amp; Station Calculations'!L$20*'Vehicle &amp; Station Calculations'!$E$8*'Vehicle &amp; Station Calculations'!L$38)+('Vehicle &amp; Station Calculations'!L$21*'Vehicle &amp; Station Calculations'!$F$8*'Vehicle &amp; Station Calculations'!L$39)+('Vehicle &amp; Station Calculations'!L$22*'Vehicle &amp; Station Calculations'!$G$8*'Vehicle &amp; Station Calculations'!L$40)+('Vehicle &amp; Station Calculations'!L$23*'Vehicle &amp; Station Calculations'!$H$8*'Vehicle &amp; Station Calculations'!L$41)+('Vehicle &amp; Station Calculations'!L$24*'Vehicle &amp; Station Calculations'!$I$8*'Vehicle &amp; Station Calculations'!L$42)+('Vehicle &amp; Station Calculations'!L$25*'Vehicle &amp; Station Calculations'!$J$8*'Vehicle &amp; Station Calculations'!L$43)+('Vehicle &amp; Station Calculations'!L$26*'Vehicle &amp; Station Calculations'!$K$8*'Vehicle &amp; Station Calculations'!L$44))*(L17-Realized_Excise_Tax_Credit)</f>
        <v>0</v>
      </c>
      <c r="M23" s="93">
        <f>(('Vehicle &amp; Station Calculations'!M$20*'Vehicle &amp; Station Calculations'!$E$8*'Vehicle &amp; Station Calculations'!M$38)+('Vehicle &amp; Station Calculations'!M$21*'Vehicle &amp; Station Calculations'!$F$8*'Vehicle &amp; Station Calculations'!M$39)+('Vehicle &amp; Station Calculations'!M$22*'Vehicle &amp; Station Calculations'!$G$8*'Vehicle &amp; Station Calculations'!M$40)+('Vehicle &amp; Station Calculations'!M$23*'Vehicle &amp; Station Calculations'!$H$8*'Vehicle &amp; Station Calculations'!M$41)+('Vehicle &amp; Station Calculations'!M$24*'Vehicle &amp; Station Calculations'!$I$8*'Vehicle &amp; Station Calculations'!M$42)+('Vehicle &amp; Station Calculations'!M$25*'Vehicle &amp; Station Calculations'!$J$8*'Vehicle &amp; Station Calculations'!M$43)+('Vehicle &amp; Station Calculations'!M$26*'Vehicle &amp; Station Calculations'!$K$8*'Vehicle &amp; Station Calculations'!M$44))*(M17-Realized_Excise_Tax_Credit)</f>
        <v>0</v>
      </c>
      <c r="N23" s="93">
        <f>(('Vehicle &amp; Station Calculations'!N$20*'Vehicle &amp; Station Calculations'!$E$8*'Vehicle &amp; Station Calculations'!N$38)+('Vehicle &amp; Station Calculations'!N$21*'Vehicle &amp; Station Calculations'!$F$8*'Vehicle &amp; Station Calculations'!N$39)+('Vehicle &amp; Station Calculations'!N$22*'Vehicle &amp; Station Calculations'!$G$8*'Vehicle &amp; Station Calculations'!N$40)+('Vehicle &amp; Station Calculations'!N$23*'Vehicle &amp; Station Calculations'!$H$8*'Vehicle &amp; Station Calculations'!N$41)+('Vehicle &amp; Station Calculations'!N$24*'Vehicle &amp; Station Calculations'!$I$8*'Vehicle &amp; Station Calculations'!N$42)+('Vehicle &amp; Station Calculations'!N$25*'Vehicle &amp; Station Calculations'!$J$8*'Vehicle &amp; Station Calculations'!N$43)+('Vehicle &amp; Station Calculations'!N$26*'Vehicle &amp; Station Calculations'!$K$8*'Vehicle &amp; Station Calculations'!N$44))*(N17-Realized_Excise_Tax_Credit)</f>
        <v>0</v>
      </c>
      <c r="O23" s="93">
        <f>(('Vehicle &amp; Station Calculations'!O$20*'Vehicle &amp; Station Calculations'!$E$8*'Vehicle &amp; Station Calculations'!O$38)+('Vehicle &amp; Station Calculations'!O$21*'Vehicle &amp; Station Calculations'!$F$8*'Vehicle &amp; Station Calculations'!O$39)+('Vehicle &amp; Station Calculations'!O$22*'Vehicle &amp; Station Calculations'!$G$8*'Vehicle &amp; Station Calculations'!O$40)+('Vehicle &amp; Station Calculations'!O$23*'Vehicle &amp; Station Calculations'!$H$8*'Vehicle &amp; Station Calculations'!O$41)+('Vehicle &amp; Station Calculations'!O$24*'Vehicle &amp; Station Calculations'!$I$8*'Vehicle &amp; Station Calculations'!O$42)+('Vehicle &amp; Station Calculations'!O$25*'Vehicle &amp; Station Calculations'!$J$8*'Vehicle &amp; Station Calculations'!O$43)+('Vehicle &amp; Station Calculations'!O$26*'Vehicle &amp; Station Calculations'!$K$8*'Vehicle &amp; Station Calculations'!O$44))*(O17-Realized_Excise_Tax_Credit)</f>
        <v>0</v>
      </c>
      <c r="P23" s="93">
        <f>(('Vehicle &amp; Station Calculations'!P$20*'Vehicle &amp; Station Calculations'!$E$8*'Vehicle &amp; Station Calculations'!P$38)+('Vehicle &amp; Station Calculations'!P$21*'Vehicle &amp; Station Calculations'!$F$8*'Vehicle &amp; Station Calculations'!P$39)+('Vehicle &amp; Station Calculations'!P$22*'Vehicle &amp; Station Calculations'!$G$8*'Vehicle &amp; Station Calculations'!P$40)+('Vehicle &amp; Station Calculations'!P$23*'Vehicle &amp; Station Calculations'!$H$8*'Vehicle &amp; Station Calculations'!P$41)+('Vehicle &amp; Station Calculations'!P$24*'Vehicle &amp; Station Calculations'!$I$8*'Vehicle &amp; Station Calculations'!P$42)+('Vehicle &amp; Station Calculations'!P$25*'Vehicle &amp; Station Calculations'!$J$8*'Vehicle &amp; Station Calculations'!P$43)+('Vehicle &amp; Station Calculations'!P$26*'Vehicle &amp; Station Calculations'!$K$8*'Vehicle &amp; Station Calculations'!P$44))*(P17-Realized_Excise_Tax_Credit)</f>
        <v>0</v>
      </c>
      <c r="Q23" s="93">
        <f>(('Vehicle &amp; Station Calculations'!Q$20*'Vehicle &amp; Station Calculations'!$E$8*'Vehicle &amp; Station Calculations'!Q$38)+('Vehicle &amp; Station Calculations'!Q$21*'Vehicle &amp; Station Calculations'!$F$8*'Vehicle &amp; Station Calculations'!Q$39)+('Vehicle &amp; Station Calculations'!Q$22*'Vehicle &amp; Station Calculations'!$G$8*'Vehicle &amp; Station Calculations'!Q$40)+('Vehicle &amp; Station Calculations'!Q$23*'Vehicle &amp; Station Calculations'!$H$8*'Vehicle &amp; Station Calculations'!Q$41)+('Vehicle &amp; Station Calculations'!Q$24*'Vehicle &amp; Station Calculations'!$I$8*'Vehicle &amp; Station Calculations'!Q$42)+('Vehicle &amp; Station Calculations'!Q$25*'Vehicle &amp; Station Calculations'!$J$8*'Vehicle &amp; Station Calculations'!Q$43)+('Vehicle &amp; Station Calculations'!Q$26*'Vehicle &amp; Station Calculations'!$K$8*'Vehicle &amp; Station Calculations'!Q$44))*(Q17-Realized_Excise_Tax_Credit)</f>
        <v>0</v>
      </c>
      <c r="R23" s="93">
        <f>(('Vehicle &amp; Station Calculations'!R$20*'Vehicle &amp; Station Calculations'!$E$8*'Vehicle &amp; Station Calculations'!R$38)+('Vehicle &amp; Station Calculations'!R$21*'Vehicle &amp; Station Calculations'!$F$8*'Vehicle &amp; Station Calculations'!R$39)+('Vehicle &amp; Station Calculations'!R$22*'Vehicle &amp; Station Calculations'!$G$8*'Vehicle &amp; Station Calculations'!R$40)+('Vehicle &amp; Station Calculations'!R$23*'Vehicle &amp; Station Calculations'!$H$8*'Vehicle &amp; Station Calculations'!R$41)+('Vehicle &amp; Station Calculations'!R$24*'Vehicle &amp; Station Calculations'!$I$8*'Vehicle &amp; Station Calculations'!R$42)+('Vehicle &amp; Station Calculations'!R$25*'Vehicle &amp; Station Calculations'!$J$8*'Vehicle &amp; Station Calculations'!R$43)+('Vehicle &amp; Station Calculations'!R$26*'Vehicle &amp; Station Calculations'!$K$8*'Vehicle &amp; Station Calculations'!R$44))*(R17-Realized_Excise_Tax_Credit)</f>
        <v>0</v>
      </c>
      <c r="S23" s="93">
        <f>(('Vehicle &amp; Station Calculations'!S$20*'Vehicle &amp; Station Calculations'!$E$8*'Vehicle &amp; Station Calculations'!S$38)+('Vehicle &amp; Station Calculations'!S$21*'Vehicle &amp; Station Calculations'!$F$8*'Vehicle &amp; Station Calculations'!S$39)+('Vehicle &amp; Station Calculations'!S$22*'Vehicle &amp; Station Calculations'!$G$8*'Vehicle &amp; Station Calculations'!S$40)+('Vehicle &amp; Station Calculations'!S$23*'Vehicle &amp; Station Calculations'!$H$8*'Vehicle &amp; Station Calculations'!S$41)+('Vehicle &amp; Station Calculations'!S$24*'Vehicle &amp; Station Calculations'!$I$8*'Vehicle &amp; Station Calculations'!S$42)+('Vehicle &amp; Station Calculations'!S$25*'Vehicle &amp; Station Calculations'!$J$8*'Vehicle &amp; Station Calculations'!S$43)+('Vehicle &amp; Station Calculations'!S$26*'Vehicle &amp; Station Calculations'!$K$8*'Vehicle &amp; Station Calculations'!S$44))*(S17-Realized_Excise_Tax_Credit)</f>
        <v>0</v>
      </c>
      <c r="T23" s="93">
        <f>(('Vehicle &amp; Station Calculations'!T$20*'Vehicle &amp; Station Calculations'!$E$8*'Vehicle &amp; Station Calculations'!T$38)+('Vehicle &amp; Station Calculations'!T$21*'Vehicle &amp; Station Calculations'!$F$8*'Vehicle &amp; Station Calculations'!T$39)+('Vehicle &amp; Station Calculations'!T$22*'Vehicle &amp; Station Calculations'!$G$8*'Vehicle &amp; Station Calculations'!T$40)+('Vehicle &amp; Station Calculations'!T$23*'Vehicle &amp; Station Calculations'!$H$8*'Vehicle &amp; Station Calculations'!T$41)+('Vehicle &amp; Station Calculations'!T$24*'Vehicle &amp; Station Calculations'!$I$8*'Vehicle &amp; Station Calculations'!T$42)+('Vehicle &amp; Station Calculations'!T$25*'Vehicle &amp; Station Calculations'!$J$8*'Vehicle &amp; Station Calculations'!T$43)+('Vehicle &amp; Station Calculations'!T$26*'Vehicle &amp; Station Calculations'!$K$8*'Vehicle &amp; Station Calculations'!T$44))*(T17-Realized_Excise_Tax_Credit)</f>
        <v>0</v>
      </c>
      <c r="U23" s="93">
        <f>(('Vehicle &amp; Station Calculations'!U$20*'Vehicle &amp; Station Calculations'!$E$8*'Vehicle &amp; Station Calculations'!U$38)+('Vehicle &amp; Station Calculations'!U$21*'Vehicle &amp; Station Calculations'!$F$8*'Vehicle &amp; Station Calculations'!U$39)+('Vehicle &amp; Station Calculations'!U$22*'Vehicle &amp; Station Calculations'!$G$8*'Vehicle &amp; Station Calculations'!U$40)+('Vehicle &amp; Station Calculations'!U$23*'Vehicle &amp; Station Calculations'!$H$8*'Vehicle &amp; Station Calculations'!U$41)+('Vehicle &amp; Station Calculations'!U$24*'Vehicle &amp; Station Calculations'!$I$8*'Vehicle &amp; Station Calculations'!U$42)+('Vehicle &amp; Station Calculations'!U$25*'Vehicle &amp; Station Calculations'!$J$8*'Vehicle &amp; Station Calculations'!U$43)+('Vehicle &amp; Station Calculations'!U$26*'Vehicle &amp; Station Calculations'!$K$8*'Vehicle &amp; Station Calculations'!U$44))*(U17-Realized_Excise_Tax_Credit)</f>
        <v>0</v>
      </c>
      <c r="V23" s="93">
        <f>(('Vehicle &amp; Station Calculations'!V$20*'Vehicle &amp; Station Calculations'!$E$8*'Vehicle &amp; Station Calculations'!V$38)+('Vehicle &amp; Station Calculations'!V$21*'Vehicle &amp; Station Calculations'!$F$8*'Vehicle &amp; Station Calculations'!V$39)+('Vehicle &amp; Station Calculations'!V$22*'Vehicle &amp; Station Calculations'!$G$8*'Vehicle &amp; Station Calculations'!V$40)+('Vehicle &amp; Station Calculations'!V$23*'Vehicle &amp; Station Calculations'!$H$8*'Vehicle &amp; Station Calculations'!V$41)+('Vehicle &amp; Station Calculations'!V$24*'Vehicle &amp; Station Calculations'!$I$8*'Vehicle &amp; Station Calculations'!V$42)+('Vehicle &amp; Station Calculations'!V$25*'Vehicle &amp; Station Calculations'!$J$8*'Vehicle &amp; Station Calculations'!V$43)+('Vehicle &amp; Station Calculations'!V$26*'Vehicle &amp; Station Calculations'!$K$8*'Vehicle &amp; Station Calculations'!V$44))*(V17-Realized_Excise_Tax_Credit)</f>
        <v>0</v>
      </c>
      <c r="W23" s="93">
        <f>(('Vehicle &amp; Station Calculations'!W$20*'Vehicle &amp; Station Calculations'!$E$8*'Vehicle &amp; Station Calculations'!W$38)+('Vehicle &amp; Station Calculations'!W$21*'Vehicle &amp; Station Calculations'!$F$8*'Vehicle &amp; Station Calculations'!W$39)+('Vehicle &amp; Station Calculations'!W$22*'Vehicle &amp; Station Calculations'!$G$8*'Vehicle &amp; Station Calculations'!W$40)+('Vehicle &amp; Station Calculations'!W$23*'Vehicle &amp; Station Calculations'!$H$8*'Vehicle &amp; Station Calculations'!W$41)+('Vehicle &amp; Station Calculations'!W$24*'Vehicle &amp; Station Calculations'!$I$8*'Vehicle &amp; Station Calculations'!W$42)+('Vehicle &amp; Station Calculations'!W$25*'Vehicle &amp; Station Calculations'!$J$8*'Vehicle &amp; Station Calculations'!W$43)+('Vehicle &amp; Station Calculations'!W$26*'Vehicle &amp; Station Calculations'!$K$8*'Vehicle &amp; Station Calculations'!W$44))*(W17-Realized_Excise_Tax_Credit)</f>
        <v>0</v>
      </c>
      <c r="X23" s="93">
        <f>(('Vehicle &amp; Station Calculations'!X$20*'Vehicle &amp; Station Calculations'!$E$8*'Vehicle &amp; Station Calculations'!X$38)+('Vehicle &amp; Station Calculations'!X$21*'Vehicle &amp; Station Calculations'!$F$8*'Vehicle &amp; Station Calculations'!X$39)+('Vehicle &amp; Station Calculations'!X$22*'Vehicle &amp; Station Calculations'!$G$8*'Vehicle &amp; Station Calculations'!X$40)+('Vehicle &amp; Station Calculations'!X$23*'Vehicle &amp; Station Calculations'!$H$8*'Vehicle &amp; Station Calculations'!X$41)+('Vehicle &amp; Station Calculations'!X$24*'Vehicle &amp; Station Calculations'!$I$8*'Vehicle &amp; Station Calculations'!X$42)+('Vehicle &amp; Station Calculations'!X$25*'Vehicle &amp; Station Calculations'!$J$8*'Vehicle &amp; Station Calculations'!X$43)+('Vehicle &amp; Station Calculations'!X$26*'Vehicle &amp; Station Calculations'!$K$8*'Vehicle &amp; Station Calculations'!X$44))*(X17-Realized_Excise_Tax_Credit)</f>
        <v>0</v>
      </c>
      <c r="Y23" s="93">
        <f>(('Vehicle &amp; Station Calculations'!Y$20*'Vehicle &amp; Station Calculations'!$E$8*'Vehicle &amp; Station Calculations'!Y$38)+('Vehicle &amp; Station Calculations'!Y$21*'Vehicle &amp; Station Calculations'!$F$8*'Vehicle &amp; Station Calculations'!Y$39)+('Vehicle &amp; Station Calculations'!Y$22*'Vehicle &amp; Station Calculations'!$G$8*'Vehicle &amp; Station Calculations'!Y$40)+('Vehicle &amp; Station Calculations'!Y$23*'Vehicle &amp; Station Calculations'!$H$8*'Vehicle &amp; Station Calculations'!Y$41)+('Vehicle &amp; Station Calculations'!Y$24*'Vehicle &amp; Station Calculations'!$I$8*'Vehicle &amp; Station Calculations'!Y$42)+('Vehicle &amp; Station Calculations'!Y$25*'Vehicle &amp; Station Calculations'!$J$8*'Vehicle &amp; Station Calculations'!Y$43)+('Vehicle &amp; Station Calculations'!Y$26*'Vehicle &amp; Station Calculations'!$K$8*'Vehicle &amp; Station Calculations'!Y$44))*(Y17-Realized_Excise_Tax_Credit)</f>
        <v>0</v>
      </c>
      <c r="Z23" s="86"/>
    </row>
    <row r="24" spans="1:26" x14ac:dyDescent="0.2">
      <c r="A24" s="1"/>
      <c r="B24" s="531" t="s">
        <v>103</v>
      </c>
      <c r="C24" s="532"/>
      <c r="D24" s="533"/>
      <c r="E24" s="91">
        <f>('Vehicle &amp; Station Calculations'!E$20*'Vehicle &amp; Station Calculations'!$E$14*('Vehicle &amp; Station Calculations'!E$38/12))+('Vehicle &amp; Station Calculations'!E$21*'Vehicle &amp; Station Calculations'!$F$14*('Vehicle &amp; Station Calculations'!E$39/12))+('Vehicle &amp; Station Calculations'!E$22*'Vehicle &amp; Station Calculations'!$G$14*('Vehicle &amp; Station Calculations'!E$40/12))+('Vehicle &amp; Station Calculations'!E$23*'Vehicle &amp; Station Calculations'!$H$14*('Vehicle &amp; Station Calculations'!E$41/12))+('Vehicle &amp; Station Calculations'!E$24*'Vehicle &amp; Station Calculations'!$I$14*('Vehicle &amp; Station Calculations'!E$42/12))+('Vehicle &amp; Station Calculations'!E$25*'Vehicle &amp; Station Calculations'!$J$14*('Vehicle &amp; Station Calculations'!E$43/12))+('Vehicle &amp; Station Calculations'!E$26*'Vehicle &amp; Station Calculations'!$K$14*('Vehicle &amp; Station Calculations'!E$44/12))</f>
        <v>0</v>
      </c>
      <c r="F24" s="91">
        <f>('Vehicle &amp; Station Calculations'!F$20*'Vehicle &amp; Station Calculations'!$E$14*('Vehicle &amp; Station Calculations'!F$38/12))+('Vehicle &amp; Station Calculations'!F$21*'Vehicle &amp; Station Calculations'!$F$14*('Vehicle &amp; Station Calculations'!F$39/12))+('Vehicle &amp; Station Calculations'!F$22*'Vehicle &amp; Station Calculations'!$G$14*('Vehicle &amp; Station Calculations'!F$40/12))+('Vehicle &amp; Station Calculations'!F$23*'Vehicle &amp; Station Calculations'!$H$14*('Vehicle &amp; Station Calculations'!F$41/12))+('Vehicle &amp; Station Calculations'!F$24*'Vehicle &amp; Station Calculations'!$I$14*('Vehicle &amp; Station Calculations'!F$42/12))+('Vehicle &amp; Station Calculations'!F$25*'Vehicle &amp; Station Calculations'!$J$14*('Vehicle &amp; Station Calculations'!F$43/12))+('Vehicle &amp; Station Calculations'!F$26*'Vehicle &amp; Station Calculations'!$K$14*('Vehicle &amp; Station Calculations'!F$44/12))</f>
        <v>0</v>
      </c>
      <c r="G24" s="91">
        <f>('Vehicle &amp; Station Calculations'!G$20*'Vehicle &amp; Station Calculations'!$E$14*('Vehicle &amp; Station Calculations'!G$38/12))+('Vehicle &amp; Station Calculations'!G$21*'Vehicle &amp; Station Calculations'!$F$14*('Vehicle &amp; Station Calculations'!G$39/12))+('Vehicle &amp; Station Calculations'!G$22*'Vehicle &amp; Station Calculations'!$G$14*('Vehicle &amp; Station Calculations'!G$40/12))+('Vehicle &amp; Station Calculations'!G$23*'Vehicle &amp; Station Calculations'!$H$14*('Vehicle &amp; Station Calculations'!G$41/12))+('Vehicle &amp; Station Calculations'!G$24*'Vehicle &amp; Station Calculations'!$I$14*('Vehicle &amp; Station Calculations'!G$42/12))+('Vehicle &amp; Station Calculations'!G$25*'Vehicle &amp; Station Calculations'!$J$14*('Vehicle &amp; Station Calculations'!G$43/12))+('Vehicle &amp; Station Calculations'!G$26*'Vehicle &amp; Station Calculations'!$K$14*('Vehicle &amp; Station Calculations'!G$44/12))</f>
        <v>0</v>
      </c>
      <c r="H24" s="91">
        <f>('Vehicle &amp; Station Calculations'!H$20*'Vehicle &amp; Station Calculations'!$E$14*('Vehicle &amp; Station Calculations'!H$38/12))+('Vehicle &amp; Station Calculations'!H$21*'Vehicle &amp; Station Calculations'!$F$14*('Vehicle &amp; Station Calculations'!H$39/12))+('Vehicle &amp; Station Calculations'!H$22*'Vehicle &amp; Station Calculations'!$G$14*('Vehicle &amp; Station Calculations'!H$40/12))+('Vehicle &amp; Station Calculations'!H$23*'Vehicle &amp; Station Calculations'!$H$14*('Vehicle &amp; Station Calculations'!H$41/12))+('Vehicle &amp; Station Calculations'!H$24*'Vehicle &amp; Station Calculations'!$I$14*('Vehicle &amp; Station Calculations'!H$42/12))+('Vehicle &amp; Station Calculations'!H$25*'Vehicle &amp; Station Calculations'!$J$14*('Vehicle &amp; Station Calculations'!H$43/12))+('Vehicle &amp; Station Calculations'!H$26*'Vehicle &amp; Station Calculations'!$K$14*('Vehicle &amp; Station Calculations'!H$44/12))</f>
        <v>0</v>
      </c>
      <c r="I24" s="91">
        <f>('Vehicle &amp; Station Calculations'!I$20*'Vehicle &amp; Station Calculations'!$E$14*('Vehicle &amp; Station Calculations'!I$38/12))+('Vehicle &amp; Station Calculations'!I$21*'Vehicle &amp; Station Calculations'!$F$14*('Vehicle &amp; Station Calculations'!I$39/12))+('Vehicle &amp; Station Calculations'!I$22*'Vehicle &amp; Station Calculations'!$G$14*('Vehicle &amp; Station Calculations'!I$40/12))+('Vehicle &amp; Station Calculations'!I$23*'Vehicle &amp; Station Calculations'!$H$14*('Vehicle &amp; Station Calculations'!I$41/12))+('Vehicle &amp; Station Calculations'!I$24*'Vehicle &amp; Station Calculations'!$I$14*('Vehicle &amp; Station Calculations'!I$42/12))+('Vehicle &amp; Station Calculations'!I$25*'Vehicle &amp; Station Calculations'!$J$14*('Vehicle &amp; Station Calculations'!I$43/12))+('Vehicle &amp; Station Calculations'!I$26*'Vehicle &amp; Station Calculations'!$K$14*('Vehicle &amp; Station Calculations'!I$44/12))</f>
        <v>0</v>
      </c>
      <c r="J24" s="91">
        <f>('Vehicle &amp; Station Calculations'!J$20*'Vehicle &amp; Station Calculations'!$E$14*('Vehicle &amp; Station Calculations'!J$38/12))+('Vehicle &amp; Station Calculations'!J$21*'Vehicle &amp; Station Calculations'!$F$14*('Vehicle &amp; Station Calculations'!J$39/12))+('Vehicle &amp; Station Calculations'!J$22*'Vehicle &amp; Station Calculations'!$G$14*('Vehicle &amp; Station Calculations'!J$40/12))+('Vehicle &amp; Station Calculations'!J$23*'Vehicle &amp; Station Calculations'!$H$14*('Vehicle &amp; Station Calculations'!J$41/12))+('Vehicle &amp; Station Calculations'!J$24*'Vehicle &amp; Station Calculations'!$I$14*('Vehicle &amp; Station Calculations'!J$42/12))+('Vehicle &amp; Station Calculations'!J$25*'Vehicle &amp; Station Calculations'!$J$14*('Vehicle &amp; Station Calculations'!J$43/12))+('Vehicle &amp; Station Calculations'!J$26*'Vehicle &amp; Station Calculations'!$K$14*('Vehicle &amp; Station Calculations'!J$44/12))</f>
        <v>0</v>
      </c>
      <c r="K24" s="91">
        <f>('Vehicle &amp; Station Calculations'!K$20*'Vehicle &amp; Station Calculations'!$E$14*('Vehicle &amp; Station Calculations'!K$38/12))+('Vehicle &amp; Station Calculations'!K$21*'Vehicle &amp; Station Calculations'!$F$14*('Vehicle &amp; Station Calculations'!K$39/12))+('Vehicle &amp; Station Calculations'!K$22*'Vehicle &amp; Station Calculations'!$G$14*('Vehicle &amp; Station Calculations'!K$40/12))+('Vehicle &amp; Station Calculations'!K$23*'Vehicle &amp; Station Calculations'!$H$14*('Vehicle &amp; Station Calculations'!K$41/12))+('Vehicle &amp; Station Calculations'!K$24*'Vehicle &amp; Station Calculations'!$I$14*('Vehicle &amp; Station Calculations'!K$42/12))+('Vehicle &amp; Station Calculations'!K$25*'Vehicle &amp; Station Calculations'!$J$14*('Vehicle &amp; Station Calculations'!K$43/12))+('Vehicle &amp; Station Calculations'!K$26*'Vehicle &amp; Station Calculations'!$K$14*('Vehicle &amp; Station Calculations'!K$44/12))</f>
        <v>0</v>
      </c>
      <c r="L24" s="91">
        <f>('Vehicle &amp; Station Calculations'!L$20*'Vehicle &amp; Station Calculations'!$E$14*('Vehicle &amp; Station Calculations'!L$38/12))+('Vehicle &amp; Station Calculations'!L$21*'Vehicle &amp; Station Calculations'!$F$14*('Vehicle &amp; Station Calculations'!L$39/12))+('Vehicle &amp; Station Calculations'!L$22*'Vehicle &amp; Station Calculations'!$G$14*('Vehicle &amp; Station Calculations'!L$40/12))+('Vehicle &amp; Station Calculations'!L$23*'Vehicle &amp; Station Calculations'!$H$14*('Vehicle &amp; Station Calculations'!L$41/12))+('Vehicle &amp; Station Calculations'!L$24*'Vehicle &amp; Station Calculations'!$I$14*('Vehicle &amp; Station Calculations'!L$42/12))+('Vehicle &amp; Station Calculations'!L$25*'Vehicle &amp; Station Calculations'!$J$14*('Vehicle &amp; Station Calculations'!L$43/12))+('Vehicle &amp; Station Calculations'!L$26*'Vehicle &amp; Station Calculations'!$K$14*('Vehicle &amp; Station Calculations'!L$44/12))</f>
        <v>0</v>
      </c>
      <c r="M24" s="91">
        <f>('Vehicle &amp; Station Calculations'!M$20*'Vehicle &amp; Station Calculations'!$E$14*('Vehicle &amp; Station Calculations'!M$38/12))+('Vehicle &amp; Station Calculations'!M$21*'Vehicle &amp; Station Calculations'!$F$14*('Vehicle &amp; Station Calculations'!M$39/12))+('Vehicle &amp; Station Calculations'!M$22*'Vehicle &amp; Station Calculations'!$G$14*('Vehicle &amp; Station Calculations'!M$40/12))+('Vehicle &amp; Station Calculations'!M$23*'Vehicle &amp; Station Calculations'!$H$14*('Vehicle &amp; Station Calculations'!M$41/12))+('Vehicle &amp; Station Calculations'!M$24*'Vehicle &amp; Station Calculations'!$I$14*('Vehicle &amp; Station Calculations'!M$42/12))+('Vehicle &amp; Station Calculations'!M$25*'Vehicle &amp; Station Calculations'!$J$14*('Vehicle &amp; Station Calculations'!M$43/12))+('Vehicle &amp; Station Calculations'!M$26*'Vehicle &amp; Station Calculations'!$K$14*('Vehicle &amp; Station Calculations'!M$44/12))</f>
        <v>0</v>
      </c>
      <c r="N24" s="91">
        <f>('Vehicle &amp; Station Calculations'!N$20*'Vehicle &amp; Station Calculations'!$E$14*('Vehicle &amp; Station Calculations'!N$38/12))+('Vehicle &amp; Station Calculations'!N$21*'Vehicle &amp; Station Calculations'!$F$14*('Vehicle &amp; Station Calculations'!N$39/12))+('Vehicle &amp; Station Calculations'!N$22*'Vehicle &amp; Station Calculations'!$G$14*('Vehicle &amp; Station Calculations'!N$40/12))+('Vehicle &amp; Station Calculations'!N$23*'Vehicle &amp; Station Calculations'!$H$14*('Vehicle &amp; Station Calculations'!N$41/12))+('Vehicle &amp; Station Calculations'!N$24*'Vehicle &amp; Station Calculations'!$I$14*('Vehicle &amp; Station Calculations'!N$42/12))+('Vehicle &amp; Station Calculations'!N$25*'Vehicle &amp; Station Calculations'!$J$14*('Vehicle &amp; Station Calculations'!N$43/12))+('Vehicle &amp; Station Calculations'!N$26*'Vehicle &amp; Station Calculations'!$K$14*('Vehicle &amp; Station Calculations'!N$44/12))</f>
        <v>0</v>
      </c>
      <c r="O24" s="91">
        <f>('Vehicle &amp; Station Calculations'!O$20*'Vehicle &amp; Station Calculations'!$E$14*('Vehicle &amp; Station Calculations'!O$38/12))+('Vehicle &amp; Station Calculations'!O$21*'Vehicle &amp; Station Calculations'!$F$14*('Vehicle &amp; Station Calculations'!O$39/12))+('Vehicle &amp; Station Calculations'!O$22*'Vehicle &amp; Station Calculations'!$G$14*('Vehicle &amp; Station Calculations'!O$40/12))+('Vehicle &amp; Station Calculations'!O$23*'Vehicle &amp; Station Calculations'!$H$14*('Vehicle &amp; Station Calculations'!O$41/12))+('Vehicle &amp; Station Calculations'!O$24*'Vehicle &amp; Station Calculations'!$I$14*('Vehicle &amp; Station Calculations'!O$42/12))+('Vehicle &amp; Station Calculations'!O$25*'Vehicle &amp; Station Calculations'!$J$14*('Vehicle &amp; Station Calculations'!O$43/12))+('Vehicle &amp; Station Calculations'!O$26*'Vehicle &amp; Station Calculations'!$K$14*('Vehicle &amp; Station Calculations'!O$44/12))</f>
        <v>0</v>
      </c>
      <c r="P24" s="91">
        <f>('Vehicle &amp; Station Calculations'!P$20*'Vehicle &amp; Station Calculations'!$E$14*('Vehicle &amp; Station Calculations'!P$38/12))+('Vehicle &amp; Station Calculations'!P$21*'Vehicle &amp; Station Calculations'!$F$14*('Vehicle &amp; Station Calculations'!P$39/12))+('Vehicle &amp; Station Calculations'!P$22*'Vehicle &amp; Station Calculations'!$G$14*('Vehicle &amp; Station Calculations'!P$40/12))+('Vehicle &amp; Station Calculations'!P$23*'Vehicle &amp; Station Calculations'!$H$14*('Vehicle &amp; Station Calculations'!P$41/12))+('Vehicle &amp; Station Calculations'!P$24*'Vehicle &amp; Station Calculations'!$I$14*('Vehicle &amp; Station Calculations'!P$42/12))+('Vehicle &amp; Station Calculations'!P$25*'Vehicle &amp; Station Calculations'!$J$14*('Vehicle &amp; Station Calculations'!P$43/12))+('Vehicle &amp; Station Calculations'!P$26*'Vehicle &amp; Station Calculations'!$K$14*('Vehicle &amp; Station Calculations'!P$44/12))</f>
        <v>0</v>
      </c>
      <c r="Q24" s="91">
        <f>('Vehicle &amp; Station Calculations'!Q$20*'Vehicle &amp; Station Calculations'!$E$14*('Vehicle &amp; Station Calculations'!Q$38/12))+('Vehicle &amp; Station Calculations'!Q$21*'Vehicle &amp; Station Calculations'!$F$14*('Vehicle &amp; Station Calculations'!Q$39/12))+('Vehicle &amp; Station Calculations'!Q$22*'Vehicle &amp; Station Calculations'!$G$14*('Vehicle &amp; Station Calculations'!Q$40/12))+('Vehicle &amp; Station Calculations'!Q$23*'Vehicle &amp; Station Calculations'!$H$14*('Vehicle &amp; Station Calculations'!Q$41/12))+('Vehicle &amp; Station Calculations'!Q$24*'Vehicle &amp; Station Calculations'!$I$14*('Vehicle &amp; Station Calculations'!Q$42/12))+('Vehicle &amp; Station Calculations'!Q$25*'Vehicle &amp; Station Calculations'!$J$14*('Vehicle &amp; Station Calculations'!Q$43/12))+('Vehicle &amp; Station Calculations'!Q$26*'Vehicle &amp; Station Calculations'!$K$14*('Vehicle &amp; Station Calculations'!Q$44/12))</f>
        <v>0</v>
      </c>
      <c r="R24" s="91">
        <f>('Vehicle &amp; Station Calculations'!R$20*'Vehicle &amp; Station Calculations'!$E$14*('Vehicle &amp; Station Calculations'!R$38/12))+('Vehicle &amp; Station Calculations'!R$21*'Vehicle &amp; Station Calculations'!$F$14*('Vehicle &amp; Station Calculations'!R$39/12))+('Vehicle &amp; Station Calculations'!R$22*'Vehicle &amp; Station Calculations'!$G$14*('Vehicle &amp; Station Calculations'!R$40/12))+('Vehicle &amp; Station Calculations'!R$23*'Vehicle &amp; Station Calculations'!$H$14*('Vehicle &amp; Station Calculations'!R$41/12))+('Vehicle &amp; Station Calculations'!R$24*'Vehicle &amp; Station Calculations'!$I$14*('Vehicle &amp; Station Calculations'!R$42/12))+('Vehicle &amp; Station Calculations'!R$25*'Vehicle &amp; Station Calculations'!$J$14*('Vehicle &amp; Station Calculations'!R$43/12))+('Vehicle &amp; Station Calculations'!R$26*'Vehicle &amp; Station Calculations'!$K$14*('Vehicle &amp; Station Calculations'!R$44/12))</f>
        <v>0</v>
      </c>
      <c r="S24" s="91">
        <f>('Vehicle &amp; Station Calculations'!S$20*'Vehicle &amp; Station Calculations'!$E$14*('Vehicle &amp; Station Calculations'!S$38/12))+('Vehicle &amp; Station Calculations'!S$21*'Vehicle &amp; Station Calculations'!$F$14*('Vehicle &amp; Station Calculations'!S$39/12))+('Vehicle &amp; Station Calculations'!S$22*'Vehicle &amp; Station Calculations'!$G$14*('Vehicle &amp; Station Calculations'!S$40/12))+('Vehicle &amp; Station Calculations'!S$23*'Vehicle &amp; Station Calculations'!$H$14*('Vehicle &amp; Station Calculations'!S$41/12))+('Vehicle &amp; Station Calculations'!S$24*'Vehicle &amp; Station Calculations'!$I$14*('Vehicle &amp; Station Calculations'!S$42/12))+('Vehicle &amp; Station Calculations'!S$25*'Vehicle &amp; Station Calculations'!$J$14*('Vehicle &amp; Station Calculations'!S$43/12))+('Vehicle &amp; Station Calculations'!S$26*'Vehicle &amp; Station Calculations'!$K$14*('Vehicle &amp; Station Calculations'!S$44/12))</f>
        <v>0</v>
      </c>
      <c r="T24" s="91">
        <f>('Vehicle &amp; Station Calculations'!T$20*'Vehicle &amp; Station Calculations'!$E$14*('Vehicle &amp; Station Calculations'!T$38/12))+('Vehicle &amp; Station Calculations'!T$21*'Vehicle &amp; Station Calculations'!$F$14*('Vehicle &amp; Station Calculations'!T$39/12))+('Vehicle &amp; Station Calculations'!T$22*'Vehicle &amp; Station Calculations'!$G$14*('Vehicle &amp; Station Calculations'!T$40/12))+('Vehicle &amp; Station Calculations'!T$23*'Vehicle &amp; Station Calculations'!$H$14*('Vehicle &amp; Station Calculations'!T$41/12))+('Vehicle &amp; Station Calculations'!T$24*'Vehicle &amp; Station Calculations'!$I$14*('Vehicle &amp; Station Calculations'!T$42/12))+('Vehicle &amp; Station Calculations'!T$25*'Vehicle &amp; Station Calculations'!$J$14*('Vehicle &amp; Station Calculations'!T$43/12))+('Vehicle &amp; Station Calculations'!T$26*'Vehicle &amp; Station Calculations'!$K$14*('Vehicle &amp; Station Calculations'!T$44/12))</f>
        <v>0</v>
      </c>
      <c r="U24" s="91">
        <f>('Vehicle &amp; Station Calculations'!U$20*'Vehicle &amp; Station Calculations'!$E$14*('Vehicle &amp; Station Calculations'!U$38/12))+('Vehicle &amp; Station Calculations'!U$21*'Vehicle &amp; Station Calculations'!$F$14*('Vehicle &amp; Station Calculations'!U$39/12))+('Vehicle &amp; Station Calculations'!U$22*'Vehicle &amp; Station Calculations'!$G$14*('Vehicle &amp; Station Calculations'!U$40/12))+('Vehicle &amp; Station Calculations'!U$23*'Vehicle &amp; Station Calculations'!$H$14*('Vehicle &amp; Station Calculations'!U$41/12))+('Vehicle &amp; Station Calculations'!U$24*'Vehicle &amp; Station Calculations'!$I$14*('Vehicle &amp; Station Calculations'!U$42/12))+('Vehicle &amp; Station Calculations'!U$25*'Vehicle &amp; Station Calculations'!$J$14*('Vehicle &amp; Station Calculations'!U$43/12))+('Vehicle &amp; Station Calculations'!U$26*'Vehicle &amp; Station Calculations'!$K$14*('Vehicle &amp; Station Calculations'!U$44/12))</f>
        <v>0</v>
      </c>
      <c r="V24" s="91">
        <f>('Vehicle &amp; Station Calculations'!V$20*'Vehicle &amp; Station Calculations'!$E$14*('Vehicle &amp; Station Calculations'!V$38/12))+('Vehicle &amp; Station Calculations'!V$21*'Vehicle &amp; Station Calculations'!$F$14*('Vehicle &amp; Station Calculations'!V$39/12))+('Vehicle &amp; Station Calculations'!V$22*'Vehicle &amp; Station Calculations'!$G$14*('Vehicle &amp; Station Calculations'!V$40/12))+('Vehicle &amp; Station Calculations'!V$23*'Vehicle &amp; Station Calculations'!$H$14*('Vehicle &amp; Station Calculations'!V$41/12))+('Vehicle &amp; Station Calculations'!V$24*'Vehicle &amp; Station Calculations'!$I$14*('Vehicle &amp; Station Calculations'!V$42/12))+('Vehicle &amp; Station Calculations'!V$25*'Vehicle &amp; Station Calculations'!$J$14*('Vehicle &amp; Station Calculations'!V$43/12))+('Vehicle &amp; Station Calculations'!V$26*'Vehicle &amp; Station Calculations'!$K$14*('Vehicle &amp; Station Calculations'!V$44/12))</f>
        <v>0</v>
      </c>
      <c r="W24" s="91">
        <f>('Vehicle &amp; Station Calculations'!W$20*'Vehicle &amp; Station Calculations'!$E$14*('Vehicle &amp; Station Calculations'!W$38/12))+('Vehicle &amp; Station Calculations'!W$21*'Vehicle &amp; Station Calculations'!$F$14*('Vehicle &amp; Station Calculations'!W$39/12))+('Vehicle &amp; Station Calculations'!W$22*'Vehicle &amp; Station Calculations'!$G$14*('Vehicle &amp; Station Calculations'!W$40/12))+('Vehicle &amp; Station Calculations'!W$23*'Vehicle &amp; Station Calculations'!$H$14*('Vehicle &amp; Station Calculations'!W$41/12))+('Vehicle &amp; Station Calculations'!W$24*'Vehicle &amp; Station Calculations'!$I$14*('Vehicle &amp; Station Calculations'!W$42/12))+('Vehicle &amp; Station Calculations'!W$25*'Vehicle &amp; Station Calculations'!$J$14*('Vehicle &amp; Station Calculations'!W$43/12))+('Vehicle &amp; Station Calculations'!W$26*'Vehicle &amp; Station Calculations'!$K$14*('Vehicle &amp; Station Calculations'!W$44/12))</f>
        <v>0</v>
      </c>
      <c r="X24" s="91">
        <f>('Vehicle &amp; Station Calculations'!X$20*'Vehicle &amp; Station Calculations'!$E$14*('Vehicle &amp; Station Calculations'!X$38/12))+('Vehicle &amp; Station Calculations'!X$21*'Vehicle &amp; Station Calculations'!$F$14*('Vehicle &amp; Station Calculations'!X$39/12))+('Vehicle &amp; Station Calculations'!X$22*'Vehicle &amp; Station Calculations'!$G$14*('Vehicle &amp; Station Calculations'!X$40/12))+('Vehicle &amp; Station Calculations'!X$23*'Vehicle &amp; Station Calculations'!$H$14*('Vehicle &amp; Station Calculations'!X$41/12))+('Vehicle &amp; Station Calculations'!X$24*'Vehicle &amp; Station Calculations'!$I$14*('Vehicle &amp; Station Calculations'!X$42/12))+('Vehicle &amp; Station Calculations'!X$25*'Vehicle &amp; Station Calculations'!$J$14*('Vehicle &amp; Station Calculations'!X$43/12))+('Vehicle &amp; Station Calculations'!X$26*'Vehicle &amp; Station Calculations'!$K$14*('Vehicle &amp; Station Calculations'!X$44/12))</f>
        <v>0</v>
      </c>
      <c r="Y24" s="91">
        <f>('Vehicle &amp; Station Calculations'!Y$20*'Vehicle &amp; Station Calculations'!$E$14*('Vehicle &amp; Station Calculations'!Y$38/12))+('Vehicle &amp; Station Calculations'!Y$21*'Vehicle &amp; Station Calculations'!$F$14*('Vehicle &amp; Station Calculations'!Y$39/12))+('Vehicle &amp; Station Calculations'!Y$22*'Vehicle &amp; Station Calculations'!$G$14*('Vehicle &amp; Station Calculations'!Y$40/12))+('Vehicle &amp; Station Calculations'!Y$23*'Vehicle &amp; Station Calculations'!$H$14*('Vehicle &amp; Station Calculations'!Y$41/12))+('Vehicle &amp; Station Calculations'!Y$24*'Vehicle &amp; Station Calculations'!$I$14*('Vehicle &amp; Station Calculations'!Y$42/12))+('Vehicle &amp; Station Calculations'!Y$25*'Vehicle &amp; Station Calculations'!$J$14*('Vehicle &amp; Station Calculations'!Y$43/12))+('Vehicle &amp; Station Calculations'!Y$26*'Vehicle &amp; Station Calculations'!$K$14*('Vehicle &amp; Station Calculations'!Y$44/12))</f>
        <v>0</v>
      </c>
      <c r="Z24" s="86"/>
    </row>
    <row r="25" spans="1:26" x14ac:dyDescent="0.2">
      <c r="A25" s="1"/>
      <c r="B25" s="524" t="s">
        <v>104</v>
      </c>
      <c r="C25" s="524"/>
      <c r="D25" s="524"/>
      <c r="E25" s="93">
        <f>(('Vehicle &amp; Station Calculations'!E$20*'Vehicle &amp; Station Calculations'!$E$13*'Vehicle &amp; Station Calculations'!E$38)+('Vehicle &amp; Station Calculations'!E$21*'Vehicle &amp; Station Calculations'!$F$13*'Vehicle &amp; Station Calculations'!E$39)+('Vehicle &amp; Station Calculations'!E$22*'Vehicle &amp; Station Calculations'!$G$13*'Vehicle &amp; Station Calculations'!E$40)+('Vehicle &amp; Station Calculations'!E$23*'Vehicle &amp; Station Calculations'!$H$13*'Vehicle &amp; Station Calculations'!E$41)+('Vehicle &amp; Station Calculations'!E$24*'Vehicle &amp; Station Calculations'!$I$13*'Vehicle &amp; Station Calculations'!E$42)+('Vehicle &amp; Station Calculations'!E$25*'Vehicle &amp; Station Calculations'!$J$13*'Vehicle &amp; Station Calculations'!E$43)+('Vehicle &amp; Station Calculations'!E$26*'Vehicle &amp; Station Calculations'!$K$13*'Vehicle &amp; Station Calculations'!E$44))*E19</f>
        <v>0</v>
      </c>
      <c r="F25" s="93">
        <f>(('Vehicle &amp; Station Calculations'!F$20*'Vehicle &amp; Station Calculations'!$E$13*'Vehicle &amp; Station Calculations'!F$38)+('Vehicle &amp; Station Calculations'!F$21*'Vehicle &amp; Station Calculations'!$F$13*'Vehicle &amp; Station Calculations'!F$39)+('Vehicle &amp; Station Calculations'!F$22*'Vehicle &amp; Station Calculations'!$G$13*'Vehicle &amp; Station Calculations'!F$40)+('Vehicle &amp; Station Calculations'!F$23*'Vehicle &amp; Station Calculations'!$H$13*'Vehicle &amp; Station Calculations'!F$41)+('Vehicle &amp; Station Calculations'!F$24*'Vehicle &amp; Station Calculations'!$I$13*'Vehicle &amp; Station Calculations'!F$42)+('Vehicle &amp; Station Calculations'!F$25*'Vehicle &amp; Station Calculations'!$J$13*'Vehicle &amp; Station Calculations'!F$43)+('Vehicle &amp; Station Calculations'!F$26*'Vehicle &amp; Station Calculations'!$K13*'Vehicle &amp; Station Calculations'!F$44))*F19</f>
        <v>0</v>
      </c>
      <c r="G25" s="93">
        <f>(('Vehicle &amp; Station Calculations'!G$20*'Vehicle &amp; Station Calculations'!$E$13*'Vehicle &amp; Station Calculations'!G$38)+('Vehicle &amp; Station Calculations'!G$21*'Vehicle &amp; Station Calculations'!$F$13*'Vehicle &amp; Station Calculations'!G$39)+('Vehicle &amp; Station Calculations'!G$22*'Vehicle &amp; Station Calculations'!$G$13*'Vehicle &amp; Station Calculations'!G$40)+('Vehicle &amp; Station Calculations'!G$23*'Vehicle &amp; Station Calculations'!$H$13*'Vehicle &amp; Station Calculations'!G$41)+('Vehicle &amp; Station Calculations'!G$24*'Vehicle &amp; Station Calculations'!$I$13*'Vehicle &amp; Station Calculations'!G$42)+('Vehicle &amp; Station Calculations'!G$25*'Vehicle &amp; Station Calculations'!$J$13*'Vehicle &amp; Station Calculations'!G$43)+('Vehicle &amp; Station Calculations'!G$26*'Vehicle &amp; Station Calculations'!$K13*'Vehicle &amp; Station Calculations'!G$44))*G19</f>
        <v>0</v>
      </c>
      <c r="H25" s="93">
        <f>(('Vehicle &amp; Station Calculations'!H$20*'Vehicle &amp; Station Calculations'!$E$13*'Vehicle &amp; Station Calculations'!H$38)+('Vehicle &amp; Station Calculations'!H$21*'Vehicle &amp; Station Calculations'!$F$13*'Vehicle &amp; Station Calculations'!H$39)+('Vehicle &amp; Station Calculations'!H$22*'Vehicle &amp; Station Calculations'!$G$13*'Vehicle &amp; Station Calculations'!H$40)+('Vehicle &amp; Station Calculations'!H$23*'Vehicle &amp; Station Calculations'!$H$13*'Vehicle &amp; Station Calculations'!H$41)+('Vehicle &amp; Station Calculations'!H$24*'Vehicle &amp; Station Calculations'!$I$13*'Vehicle &amp; Station Calculations'!H$42)+('Vehicle &amp; Station Calculations'!H$25*'Vehicle &amp; Station Calculations'!$J$13*'Vehicle &amp; Station Calculations'!H$43)+('Vehicle &amp; Station Calculations'!H$26*'Vehicle &amp; Station Calculations'!$K13*'Vehicle &amp; Station Calculations'!H$44))*H19</f>
        <v>0</v>
      </c>
      <c r="I25" s="93">
        <f>(('Vehicle &amp; Station Calculations'!I$20*'Vehicle &amp; Station Calculations'!$E$13*'Vehicle &amp; Station Calculations'!I$38)+('Vehicle &amp; Station Calculations'!I$21*'Vehicle &amp; Station Calculations'!$F$13*'Vehicle &amp; Station Calculations'!I$39)+('Vehicle &amp; Station Calculations'!I$22*'Vehicle &amp; Station Calculations'!$G$13*'Vehicle &amp; Station Calculations'!I$40)+('Vehicle &amp; Station Calculations'!I$23*'Vehicle &amp; Station Calculations'!$H$13*'Vehicle &amp; Station Calculations'!I$41)+('Vehicle &amp; Station Calculations'!I$24*'Vehicle &amp; Station Calculations'!$I$13*'Vehicle &amp; Station Calculations'!I$42)+('Vehicle &amp; Station Calculations'!I$25*'Vehicle &amp; Station Calculations'!$J$13*'Vehicle &amp; Station Calculations'!I$43)+('Vehicle &amp; Station Calculations'!I$26*'Vehicle &amp; Station Calculations'!$K13*'Vehicle &amp; Station Calculations'!I$44))*I19</f>
        <v>0</v>
      </c>
      <c r="J25" s="93">
        <f>(('Vehicle &amp; Station Calculations'!J$20*'Vehicle &amp; Station Calculations'!$E$13*'Vehicle &amp; Station Calculations'!J$38)+('Vehicle &amp; Station Calculations'!J$21*'Vehicle &amp; Station Calculations'!$F$13*'Vehicle &amp; Station Calculations'!J$39)+('Vehicle &amp; Station Calculations'!J$22*'Vehicle &amp; Station Calculations'!$G$13*'Vehicle &amp; Station Calculations'!J$40)+('Vehicle &amp; Station Calculations'!J$23*'Vehicle &amp; Station Calculations'!$H$13*'Vehicle &amp; Station Calculations'!J$41)+('Vehicle &amp; Station Calculations'!J$24*'Vehicle &amp; Station Calculations'!$I$13*'Vehicle &amp; Station Calculations'!J$42)+('Vehicle &amp; Station Calculations'!J$25*'Vehicle &amp; Station Calculations'!$J$13*'Vehicle &amp; Station Calculations'!J$43)+('Vehicle &amp; Station Calculations'!J$26*'Vehicle &amp; Station Calculations'!$K13*'Vehicle &amp; Station Calculations'!J$44))*J19</f>
        <v>0</v>
      </c>
      <c r="K25" s="93">
        <f>(('Vehicle &amp; Station Calculations'!K$20*'Vehicle &amp; Station Calculations'!$E$13*'Vehicle &amp; Station Calculations'!K$38)+('Vehicle &amp; Station Calculations'!K$21*'Vehicle &amp; Station Calculations'!$F$13*'Vehicle &amp; Station Calculations'!K$39)+('Vehicle &amp; Station Calculations'!K$22*'Vehicle &amp; Station Calculations'!$G$13*'Vehicle &amp; Station Calculations'!K$40)+('Vehicle &amp; Station Calculations'!K$23*'Vehicle &amp; Station Calculations'!$H$13*'Vehicle &amp; Station Calculations'!K$41)+('Vehicle &amp; Station Calculations'!K$24*'Vehicle &amp; Station Calculations'!$I$13*'Vehicle &amp; Station Calculations'!K$42)+('Vehicle &amp; Station Calculations'!K$25*'Vehicle &amp; Station Calculations'!$J$13*'Vehicle &amp; Station Calculations'!K$43)+('Vehicle &amp; Station Calculations'!K$26*'Vehicle &amp; Station Calculations'!$K13*'Vehicle &amp; Station Calculations'!K$44))*K19</f>
        <v>0</v>
      </c>
      <c r="L25" s="93">
        <f>(('Vehicle &amp; Station Calculations'!L$20*'Vehicle &amp; Station Calculations'!$E$13*'Vehicle &amp; Station Calculations'!L$38)+('Vehicle &amp; Station Calculations'!L$21*'Vehicle &amp; Station Calculations'!$F$13*'Vehicle &amp; Station Calculations'!L$39)+('Vehicle &amp; Station Calculations'!L$22*'Vehicle &amp; Station Calculations'!$G$13*'Vehicle &amp; Station Calculations'!L$40)+('Vehicle &amp; Station Calculations'!L$23*'Vehicle &amp; Station Calculations'!$H$13*'Vehicle &amp; Station Calculations'!L$41)+('Vehicle &amp; Station Calculations'!L$24*'Vehicle &amp; Station Calculations'!$I$13*'Vehicle &amp; Station Calculations'!L$42)+('Vehicle &amp; Station Calculations'!L$25*'Vehicle &amp; Station Calculations'!$J$13*'Vehicle &amp; Station Calculations'!L$43)+('Vehicle &amp; Station Calculations'!L$26*'Vehicle &amp; Station Calculations'!$K13*'Vehicle &amp; Station Calculations'!L$44))*L19</f>
        <v>0</v>
      </c>
      <c r="M25" s="93">
        <f>(('Vehicle &amp; Station Calculations'!M$20*'Vehicle &amp; Station Calculations'!$E$13*'Vehicle &amp; Station Calculations'!M$38)+('Vehicle &amp; Station Calculations'!M$21*'Vehicle &amp; Station Calculations'!$F$13*'Vehicle &amp; Station Calculations'!M$39)+('Vehicle &amp; Station Calculations'!M$22*'Vehicle &amp; Station Calculations'!$G$13*'Vehicle &amp; Station Calculations'!M$40)+('Vehicle &amp; Station Calculations'!M$23*'Vehicle &amp; Station Calculations'!$H$13*'Vehicle &amp; Station Calculations'!M$41)+('Vehicle &amp; Station Calculations'!M$24*'Vehicle &amp; Station Calculations'!$I$13*'Vehicle &amp; Station Calculations'!M$42)+('Vehicle &amp; Station Calculations'!M$25*'Vehicle &amp; Station Calculations'!$J$13*'Vehicle &amp; Station Calculations'!M$43)+('Vehicle &amp; Station Calculations'!M$26*'Vehicle &amp; Station Calculations'!$K13*'Vehicle &amp; Station Calculations'!M$44))*M19</f>
        <v>0</v>
      </c>
      <c r="N25" s="93">
        <f>(('Vehicle &amp; Station Calculations'!N$20*'Vehicle &amp; Station Calculations'!$E$13*'Vehicle &amp; Station Calculations'!N$38)+('Vehicle &amp; Station Calculations'!N$21*'Vehicle &amp; Station Calculations'!$F$13*'Vehicle &amp; Station Calculations'!N$39)+('Vehicle &amp; Station Calculations'!N$22*'Vehicle &amp; Station Calculations'!$G$13*'Vehicle &amp; Station Calculations'!N$40)+('Vehicle &amp; Station Calculations'!N$23*'Vehicle &amp; Station Calculations'!$H$13*'Vehicle &amp; Station Calculations'!N$41)+('Vehicle &amp; Station Calculations'!N$24*'Vehicle &amp; Station Calculations'!$I$13*'Vehicle &amp; Station Calculations'!N$42)+('Vehicle &amp; Station Calculations'!N$25*'Vehicle &amp; Station Calculations'!$J$13*'Vehicle &amp; Station Calculations'!N$43)+('Vehicle &amp; Station Calculations'!N$26*'Vehicle &amp; Station Calculations'!$K13*'Vehicle &amp; Station Calculations'!N$44))*N19</f>
        <v>0</v>
      </c>
      <c r="O25" s="93">
        <f>(('Vehicle &amp; Station Calculations'!O$20*'Vehicle &amp; Station Calculations'!$E$13*'Vehicle &amp; Station Calculations'!O$38)+('Vehicle &amp; Station Calculations'!O$21*'Vehicle &amp; Station Calculations'!$F$13*'Vehicle &amp; Station Calculations'!O$39)+('Vehicle &amp; Station Calculations'!O$22*'Vehicle &amp; Station Calculations'!$G$13*'Vehicle &amp; Station Calculations'!O$40)+('Vehicle &amp; Station Calculations'!O$23*'Vehicle &amp; Station Calculations'!$H$13*'Vehicle &amp; Station Calculations'!O$41)+('Vehicle &amp; Station Calculations'!O$24*'Vehicle &amp; Station Calculations'!$I$13*'Vehicle &amp; Station Calculations'!O$42)+('Vehicle &amp; Station Calculations'!O$25*'Vehicle &amp; Station Calculations'!$J$13*'Vehicle &amp; Station Calculations'!O$43)+('Vehicle &amp; Station Calculations'!O$26*'Vehicle &amp; Station Calculations'!$K13*'Vehicle &amp; Station Calculations'!O$44))*O19</f>
        <v>0</v>
      </c>
      <c r="P25" s="93">
        <f>(('Vehicle &amp; Station Calculations'!P$20*'Vehicle &amp; Station Calculations'!$E$13*'Vehicle &amp; Station Calculations'!P$38)+('Vehicle &amp; Station Calculations'!P$21*'Vehicle &amp; Station Calculations'!$F$13*'Vehicle &amp; Station Calculations'!P$39)+('Vehicle &amp; Station Calculations'!P$22*'Vehicle &amp; Station Calculations'!$G$13*'Vehicle &amp; Station Calculations'!P$40)+('Vehicle &amp; Station Calculations'!P$23*'Vehicle &amp; Station Calculations'!$H$13*'Vehicle &amp; Station Calculations'!P$41)+('Vehicle &amp; Station Calculations'!P$24*'Vehicle &amp; Station Calculations'!$I$13*'Vehicle &amp; Station Calculations'!P$42)+('Vehicle &amp; Station Calculations'!P$25*'Vehicle &amp; Station Calculations'!$J$13*'Vehicle &amp; Station Calculations'!P$43)+('Vehicle &amp; Station Calculations'!P$26*'Vehicle &amp; Station Calculations'!$K13*'Vehicle &amp; Station Calculations'!P$44))*P19</f>
        <v>0</v>
      </c>
      <c r="Q25" s="93">
        <f>(('Vehicle &amp; Station Calculations'!Q$20*'Vehicle &amp; Station Calculations'!$E$13*'Vehicle &amp; Station Calculations'!Q$38)+('Vehicle &amp; Station Calculations'!Q$21*'Vehicle &amp; Station Calculations'!$F$13*'Vehicle &amp; Station Calculations'!Q$39)+('Vehicle &amp; Station Calculations'!Q$22*'Vehicle &amp; Station Calculations'!$G$13*'Vehicle &amp; Station Calculations'!Q$40)+('Vehicle &amp; Station Calculations'!Q$23*'Vehicle &amp; Station Calculations'!$H$13*'Vehicle &amp; Station Calculations'!Q$41)+('Vehicle &amp; Station Calculations'!Q$24*'Vehicle &amp; Station Calculations'!$I$13*'Vehicle &amp; Station Calculations'!Q$42)+('Vehicle &amp; Station Calculations'!Q$25*'Vehicle &amp; Station Calculations'!$J$13*'Vehicle &amp; Station Calculations'!Q$43)+('Vehicle &amp; Station Calculations'!Q$26*'Vehicle &amp; Station Calculations'!$K13*'Vehicle &amp; Station Calculations'!Q$44))*Q19</f>
        <v>0</v>
      </c>
      <c r="R25" s="93">
        <f>(('Vehicle &amp; Station Calculations'!R$20*'Vehicle &amp; Station Calculations'!$E$13*'Vehicle &amp; Station Calculations'!R$38)+('Vehicle &amp; Station Calculations'!R$21*'Vehicle &amp; Station Calculations'!$F$13*'Vehicle &amp; Station Calculations'!R$39)+('Vehicle &amp; Station Calculations'!R$22*'Vehicle &amp; Station Calculations'!$G$13*'Vehicle &amp; Station Calculations'!R$40)+('Vehicle &amp; Station Calculations'!R$23*'Vehicle &amp; Station Calculations'!$H$13*'Vehicle &amp; Station Calculations'!R$41)+('Vehicle &amp; Station Calculations'!R$24*'Vehicle &amp; Station Calculations'!$I$13*'Vehicle &amp; Station Calculations'!R$42)+('Vehicle &amp; Station Calculations'!R$25*'Vehicle &amp; Station Calculations'!$J$13*'Vehicle &amp; Station Calculations'!R$43)+('Vehicle &amp; Station Calculations'!R$26*'Vehicle &amp; Station Calculations'!$K13*'Vehicle &amp; Station Calculations'!R$44))*R19</f>
        <v>0</v>
      </c>
      <c r="S25" s="93">
        <f>(('Vehicle &amp; Station Calculations'!S$20*'Vehicle &amp; Station Calculations'!$E$13*'Vehicle &amp; Station Calculations'!S$38)+('Vehicle &amp; Station Calculations'!S$21*'Vehicle &amp; Station Calculations'!$F$13*'Vehicle &amp; Station Calculations'!S$39)+('Vehicle &amp; Station Calculations'!S$22*'Vehicle &amp; Station Calculations'!$G$13*'Vehicle &amp; Station Calculations'!S$40)+('Vehicle &amp; Station Calculations'!S$23*'Vehicle &amp; Station Calculations'!$H$13*'Vehicle &amp; Station Calculations'!S$41)+('Vehicle &amp; Station Calculations'!S$24*'Vehicle &amp; Station Calculations'!$I$13*'Vehicle &amp; Station Calculations'!S$42)+('Vehicle &amp; Station Calculations'!S$25*'Vehicle &amp; Station Calculations'!$J$13*'Vehicle &amp; Station Calculations'!S$43)+('Vehicle &amp; Station Calculations'!S$26*'Vehicle &amp; Station Calculations'!$K13*'Vehicle &amp; Station Calculations'!S$44))*S19</f>
        <v>0</v>
      </c>
      <c r="T25" s="93">
        <f>(('Vehicle &amp; Station Calculations'!T$20*'Vehicle &amp; Station Calculations'!$E$13*'Vehicle &amp; Station Calculations'!T$38)+('Vehicle &amp; Station Calculations'!T$21*'Vehicle &amp; Station Calculations'!$F$13*'Vehicle &amp; Station Calculations'!T$39)+('Vehicle &amp; Station Calculations'!T$22*'Vehicle &amp; Station Calculations'!$G$13*'Vehicle &amp; Station Calculations'!T$40)+('Vehicle &amp; Station Calculations'!T$23*'Vehicle &amp; Station Calculations'!$H$13*'Vehicle &amp; Station Calculations'!T$41)+('Vehicle &amp; Station Calculations'!T$24*'Vehicle &amp; Station Calculations'!$I$13*'Vehicle &amp; Station Calculations'!T$42)+('Vehicle &amp; Station Calculations'!T$25*'Vehicle &amp; Station Calculations'!$J$13*'Vehicle &amp; Station Calculations'!T$43)+('Vehicle &amp; Station Calculations'!T$26*'Vehicle &amp; Station Calculations'!$K13*'Vehicle &amp; Station Calculations'!T$44))*T19</f>
        <v>0</v>
      </c>
      <c r="U25" s="93">
        <f>(('Vehicle &amp; Station Calculations'!U$20*'Vehicle &amp; Station Calculations'!$E$13*'Vehicle &amp; Station Calculations'!U$38)+('Vehicle &amp; Station Calculations'!U$21*'Vehicle &amp; Station Calculations'!$F$13*'Vehicle &amp; Station Calculations'!U$39)+('Vehicle &amp; Station Calculations'!U$22*'Vehicle &amp; Station Calculations'!$G$13*'Vehicle &amp; Station Calculations'!U$40)+('Vehicle &amp; Station Calculations'!U$23*'Vehicle &amp; Station Calculations'!$H$13*'Vehicle &amp; Station Calculations'!U$41)+('Vehicle &amp; Station Calculations'!U$24*'Vehicle &amp; Station Calculations'!$I$13*'Vehicle &amp; Station Calculations'!U$42)+('Vehicle &amp; Station Calculations'!U$25*'Vehicle &amp; Station Calculations'!$J$13*'Vehicle &amp; Station Calculations'!U$43)+('Vehicle &amp; Station Calculations'!U$26*'Vehicle &amp; Station Calculations'!$K13*'Vehicle &amp; Station Calculations'!U$44))*U19</f>
        <v>0</v>
      </c>
      <c r="V25" s="93">
        <f>(('Vehicle &amp; Station Calculations'!V$20*'Vehicle &amp; Station Calculations'!$E$13*'Vehicle &amp; Station Calculations'!V$38)+('Vehicle &amp; Station Calculations'!V$21*'Vehicle &amp; Station Calculations'!$F$13*'Vehicle &amp; Station Calculations'!V$39)+('Vehicle &amp; Station Calculations'!V$22*'Vehicle &amp; Station Calculations'!$G$13*'Vehicle &amp; Station Calculations'!V$40)+('Vehicle &amp; Station Calculations'!V$23*'Vehicle &amp; Station Calculations'!$H$13*'Vehicle &amp; Station Calculations'!V$41)+('Vehicle &amp; Station Calculations'!V$24*'Vehicle &amp; Station Calculations'!$I$13*'Vehicle &amp; Station Calculations'!V$42)+('Vehicle &amp; Station Calculations'!V$25*'Vehicle &amp; Station Calculations'!$J$13*'Vehicle &amp; Station Calculations'!V$43)+('Vehicle &amp; Station Calculations'!V$26*'Vehicle &amp; Station Calculations'!$K13*'Vehicle &amp; Station Calculations'!V$44))*V19</f>
        <v>0</v>
      </c>
      <c r="W25" s="93">
        <f>(('Vehicle &amp; Station Calculations'!W$20*'Vehicle &amp; Station Calculations'!$E$13*'Vehicle &amp; Station Calculations'!W$38)+('Vehicle &amp; Station Calculations'!W$21*'Vehicle &amp; Station Calculations'!$F$13*'Vehicle &amp; Station Calculations'!W$39)+('Vehicle &amp; Station Calculations'!W$22*'Vehicle &amp; Station Calculations'!$G$13*'Vehicle &amp; Station Calculations'!W$40)+('Vehicle &amp; Station Calculations'!W$23*'Vehicle &amp; Station Calculations'!$H$13*'Vehicle &amp; Station Calculations'!W$41)+('Vehicle &amp; Station Calculations'!W$24*'Vehicle &amp; Station Calculations'!$I$13*'Vehicle &amp; Station Calculations'!W$42)+('Vehicle &amp; Station Calculations'!W$25*'Vehicle &amp; Station Calculations'!$J$13*'Vehicle &amp; Station Calculations'!W$43)+('Vehicle &amp; Station Calculations'!W$26*'Vehicle &amp; Station Calculations'!$K13*'Vehicle &amp; Station Calculations'!W$44))*W19</f>
        <v>0</v>
      </c>
      <c r="X25" s="93">
        <f>(('Vehicle &amp; Station Calculations'!X$20*'Vehicle &amp; Station Calculations'!$E$13*'Vehicle &amp; Station Calculations'!X$38)+('Vehicle &amp; Station Calculations'!X$21*'Vehicle &amp; Station Calculations'!$F$13*'Vehicle &amp; Station Calculations'!X$39)+('Vehicle &amp; Station Calculations'!X$22*'Vehicle &amp; Station Calculations'!$G$13*'Vehicle &amp; Station Calculations'!X$40)+('Vehicle &amp; Station Calculations'!X$23*'Vehicle &amp; Station Calculations'!$H$13*'Vehicle &amp; Station Calculations'!X$41)+('Vehicle &amp; Station Calculations'!X$24*'Vehicle &amp; Station Calculations'!$I$13*'Vehicle &amp; Station Calculations'!X$42)+('Vehicle &amp; Station Calculations'!X$25*'Vehicle &amp; Station Calculations'!$J$13*'Vehicle &amp; Station Calculations'!X$43)+('Vehicle &amp; Station Calculations'!X$26*'Vehicle &amp; Station Calculations'!$K13*'Vehicle &amp; Station Calculations'!X$44))*X19</f>
        <v>0</v>
      </c>
      <c r="Y25" s="93">
        <f>(('Vehicle &amp; Station Calculations'!Y$20*'Vehicle &amp; Station Calculations'!$E$13*'Vehicle &amp; Station Calculations'!Y$38)+('Vehicle &amp; Station Calculations'!Y$21*'Vehicle &amp; Station Calculations'!$F$13*'Vehicle &amp; Station Calculations'!Y$39)+('Vehicle &amp; Station Calculations'!Y$22*'Vehicle &amp; Station Calculations'!$G$13*'Vehicle &amp; Station Calculations'!Y$40)+('Vehicle &amp; Station Calculations'!Y$23*'Vehicle &amp; Station Calculations'!$H$13*'Vehicle &amp; Station Calculations'!Y$41)+('Vehicle &amp; Station Calculations'!Y$24*'Vehicle &amp; Station Calculations'!$I$13*'Vehicle &amp; Station Calculations'!Y$42)+('Vehicle &amp; Station Calculations'!Y$25*'Vehicle &amp; Station Calculations'!$J$13*'Vehicle &amp; Station Calculations'!Y$43)+('Vehicle &amp; Station Calculations'!Y$26*'Vehicle &amp; Station Calculations'!$K13*'Vehicle &amp; Station Calculations'!Y$44))*Y19</f>
        <v>0</v>
      </c>
      <c r="Z25" s="86"/>
    </row>
    <row r="26" spans="1:26" x14ac:dyDescent="0.2">
      <c r="A26" s="1"/>
      <c r="B26" s="523" t="s">
        <v>105</v>
      </c>
      <c r="C26" s="523"/>
      <c r="D26" s="523"/>
      <c r="E26" s="91">
        <f>('Vehicle &amp; Station Calculations'!E$20*'Vehicle &amp; Station Calculations'!$E$16*('Vehicle &amp; Station Calculations'!E$38/12))+('Vehicle &amp; Station Calculations'!E$21*'Vehicle &amp; Station Calculations'!$F$16*('Vehicle &amp; Station Calculations'!E$39/12))+('Vehicle &amp; Station Calculations'!E$22*'Vehicle &amp; Station Calculations'!$G$16*('Vehicle &amp; Station Calculations'!E$40/12))+('Vehicle &amp; Station Calculations'!E$23*'Vehicle &amp; Station Calculations'!$H$16*('Vehicle &amp; Station Calculations'!E$41/12))+('Vehicle &amp; Station Calculations'!E$24*'Vehicle &amp; Station Calculations'!$I$16*('Vehicle &amp; Station Calculations'!E$42/12))+('Vehicle &amp; Station Calculations'!E$25*'Vehicle &amp; Station Calculations'!$J$16*('Vehicle &amp; Station Calculations'!E$43/12))+('Vehicle &amp; Station Calculations'!E$26*'Vehicle &amp; Station Calculations'!$K$16*('Vehicle &amp; Station Calculations'!E$44/12))</f>
        <v>0</v>
      </c>
      <c r="F26" s="91">
        <f>('Vehicle &amp; Station Calculations'!F$20*'Vehicle &amp; Station Calculations'!$E$16*('Vehicle &amp; Station Calculations'!F$38/12))+('Vehicle &amp; Station Calculations'!F$21*'Vehicle &amp; Station Calculations'!$F$16*('Vehicle &amp; Station Calculations'!F$39/12))+('Vehicle &amp; Station Calculations'!F$22*'Vehicle &amp; Station Calculations'!$G$16*('Vehicle &amp; Station Calculations'!F$40/12))+('Vehicle &amp; Station Calculations'!F$23*'Vehicle &amp; Station Calculations'!$H$16*('Vehicle &amp; Station Calculations'!F$41/12))+('Vehicle &amp; Station Calculations'!F$24*'Vehicle &amp; Station Calculations'!$I$16*('Vehicle &amp; Station Calculations'!F$42/12))+('Vehicle &amp; Station Calculations'!F$25*'Vehicle &amp; Station Calculations'!$J$16*('Vehicle &amp; Station Calculations'!F$43/12))+('Vehicle &amp; Station Calculations'!F$26*'Vehicle &amp; Station Calculations'!$K$16*('Vehicle &amp; Station Calculations'!F$44/12))</f>
        <v>0</v>
      </c>
      <c r="G26" s="91">
        <f>('Vehicle &amp; Station Calculations'!G$20*'Vehicle &amp; Station Calculations'!$E$16*('Vehicle &amp; Station Calculations'!G$38/12))+('Vehicle &amp; Station Calculations'!G$21*'Vehicle &amp; Station Calculations'!$F$16*('Vehicle &amp; Station Calculations'!G$39/12))+('Vehicle &amp; Station Calculations'!G$22*'Vehicle &amp; Station Calculations'!$G$16*('Vehicle &amp; Station Calculations'!G$40/12))+('Vehicle &amp; Station Calculations'!G$23*'Vehicle &amp; Station Calculations'!$H$16*('Vehicle &amp; Station Calculations'!G$41/12))+('Vehicle &amp; Station Calculations'!G$24*'Vehicle &amp; Station Calculations'!$I$16*('Vehicle &amp; Station Calculations'!G$42/12))+('Vehicle &amp; Station Calculations'!G$25*'Vehicle &amp; Station Calculations'!$J$16*('Vehicle &amp; Station Calculations'!G$43/12))+('Vehicle &amp; Station Calculations'!G$26*'Vehicle &amp; Station Calculations'!$K$16*('Vehicle &amp; Station Calculations'!G$44/12))</f>
        <v>0</v>
      </c>
      <c r="H26" s="91">
        <f>('Vehicle &amp; Station Calculations'!H$20*'Vehicle &amp; Station Calculations'!$E$16*('Vehicle &amp; Station Calculations'!H$38/12))+('Vehicle &amp; Station Calculations'!H$21*'Vehicle &amp; Station Calculations'!$F$16*('Vehicle &amp; Station Calculations'!H$39/12))+('Vehicle &amp; Station Calculations'!H$22*'Vehicle &amp; Station Calculations'!$G$16*('Vehicle &amp; Station Calculations'!H$40/12))+('Vehicle &amp; Station Calculations'!H$23*'Vehicle &amp; Station Calculations'!$H$16*('Vehicle &amp; Station Calculations'!H$41/12))+('Vehicle &amp; Station Calculations'!H$24*'Vehicle &amp; Station Calculations'!$I$16*('Vehicle &amp; Station Calculations'!H$42/12))+('Vehicle &amp; Station Calculations'!H$25*'Vehicle &amp; Station Calculations'!$J$16*('Vehicle &amp; Station Calculations'!H$43/12))+('Vehicle &amp; Station Calculations'!H$26*'Vehicle &amp; Station Calculations'!$K$16*('Vehicle &amp; Station Calculations'!H$44/12))</f>
        <v>0</v>
      </c>
      <c r="I26" s="91">
        <f>('Vehicle &amp; Station Calculations'!I$20*'Vehicle &amp; Station Calculations'!$E$16*('Vehicle &amp; Station Calculations'!I$38/12))+('Vehicle &amp; Station Calculations'!I$21*'Vehicle &amp; Station Calculations'!$F$16*('Vehicle &amp; Station Calculations'!I$39/12))+('Vehicle &amp; Station Calculations'!I$22*'Vehicle &amp; Station Calculations'!$G$16*('Vehicle &amp; Station Calculations'!I$40/12))+('Vehicle &amp; Station Calculations'!I$23*'Vehicle &amp; Station Calculations'!$H$16*('Vehicle &amp; Station Calculations'!I$41/12))+('Vehicle &amp; Station Calculations'!I$24*'Vehicle &amp; Station Calculations'!$I$16*('Vehicle &amp; Station Calculations'!I$42/12))+('Vehicle &amp; Station Calculations'!I$25*'Vehicle &amp; Station Calculations'!$J$16*('Vehicle &amp; Station Calculations'!I$43/12))+('Vehicle &amp; Station Calculations'!I$26*'Vehicle &amp; Station Calculations'!$K$16*('Vehicle &amp; Station Calculations'!I$44/12))</f>
        <v>0</v>
      </c>
      <c r="J26" s="91">
        <f>('Vehicle &amp; Station Calculations'!J$20*'Vehicle &amp; Station Calculations'!$E$16*('Vehicle &amp; Station Calculations'!J$38/12))+('Vehicle &amp; Station Calculations'!J$21*'Vehicle &amp; Station Calculations'!$F$16*('Vehicle &amp; Station Calculations'!J$39/12))+('Vehicle &amp; Station Calculations'!J$22*'Vehicle &amp; Station Calculations'!$G$16*('Vehicle &amp; Station Calculations'!J$40/12))+('Vehicle &amp; Station Calculations'!J$23*'Vehicle &amp; Station Calculations'!$H$16*('Vehicle &amp; Station Calculations'!J$41/12))+('Vehicle &amp; Station Calculations'!J$24*'Vehicle &amp; Station Calculations'!$I$16*('Vehicle &amp; Station Calculations'!J$42/12))+('Vehicle &amp; Station Calculations'!J$25*'Vehicle &amp; Station Calculations'!$J$16*('Vehicle &amp; Station Calculations'!J$43/12))+('Vehicle &amp; Station Calculations'!J$26*'Vehicle &amp; Station Calculations'!$K$16*('Vehicle &amp; Station Calculations'!J$44/12))</f>
        <v>0</v>
      </c>
      <c r="K26" s="91">
        <f>('Vehicle &amp; Station Calculations'!K$20*'Vehicle &amp; Station Calculations'!$E$16*('Vehicle &amp; Station Calculations'!K$38/12))+('Vehicle &amp; Station Calculations'!K$21*'Vehicle &amp; Station Calculations'!$F$16*('Vehicle &amp; Station Calculations'!K$39/12))+('Vehicle &amp; Station Calculations'!K$22*'Vehicle &amp; Station Calculations'!$G$16*('Vehicle &amp; Station Calculations'!K$40/12))+('Vehicle &amp; Station Calculations'!K$23*'Vehicle &amp; Station Calculations'!$H$16*('Vehicle &amp; Station Calculations'!K$41/12))+('Vehicle &amp; Station Calculations'!K$24*'Vehicle &amp; Station Calculations'!$I$16*('Vehicle &amp; Station Calculations'!K$42/12))+('Vehicle &amp; Station Calculations'!K$25*'Vehicle &amp; Station Calculations'!$J$16*('Vehicle &amp; Station Calculations'!K$43/12))+('Vehicle &amp; Station Calculations'!K$26*'Vehicle &amp; Station Calculations'!$K$16*('Vehicle &amp; Station Calculations'!K$44/12))</f>
        <v>0</v>
      </c>
      <c r="L26" s="91">
        <f>('Vehicle &amp; Station Calculations'!L$20*'Vehicle &amp; Station Calculations'!$E$16*('Vehicle &amp; Station Calculations'!L$38/12))+('Vehicle &amp; Station Calculations'!L$21*'Vehicle &amp; Station Calculations'!$F$16*('Vehicle &amp; Station Calculations'!L$39/12))+('Vehicle &amp; Station Calculations'!L$22*'Vehicle &amp; Station Calculations'!$G$16*('Vehicle &amp; Station Calculations'!L$40/12))+('Vehicle &amp; Station Calculations'!L$23*'Vehicle &amp; Station Calculations'!$H$16*('Vehicle &amp; Station Calculations'!L$41/12))+('Vehicle &amp; Station Calculations'!L$24*'Vehicle &amp; Station Calculations'!$I$16*('Vehicle &amp; Station Calculations'!L$42/12))+('Vehicle &amp; Station Calculations'!L$25*'Vehicle &amp; Station Calculations'!$J$16*('Vehicle &amp; Station Calculations'!L$43/12))+('Vehicle &amp; Station Calculations'!L$26*'Vehicle &amp; Station Calculations'!$K$16*('Vehicle &amp; Station Calculations'!L$44/12))</f>
        <v>0</v>
      </c>
      <c r="M26" s="91">
        <f>('Vehicle &amp; Station Calculations'!M$20*'Vehicle &amp; Station Calculations'!$E$16*('Vehicle &amp; Station Calculations'!M$38/12))+('Vehicle &amp; Station Calculations'!M$21*'Vehicle &amp; Station Calculations'!$F$16*('Vehicle &amp; Station Calculations'!M$39/12))+('Vehicle &amp; Station Calculations'!M$22*'Vehicle &amp; Station Calculations'!$G$16*('Vehicle &amp; Station Calculations'!M$40/12))+('Vehicle &amp; Station Calculations'!M$23*'Vehicle &amp; Station Calculations'!$H$16*('Vehicle &amp; Station Calculations'!M$41/12))+('Vehicle &amp; Station Calculations'!M$24*'Vehicle &amp; Station Calculations'!$I$16*('Vehicle &amp; Station Calculations'!M$42/12))+('Vehicle &amp; Station Calculations'!M$25*'Vehicle &amp; Station Calculations'!$J$16*('Vehicle &amp; Station Calculations'!M$43/12))+('Vehicle &amp; Station Calculations'!M$26*'Vehicle &amp; Station Calculations'!$K$16*('Vehicle &amp; Station Calculations'!M$44/12))</f>
        <v>0</v>
      </c>
      <c r="N26" s="91">
        <f>('Vehicle &amp; Station Calculations'!N$20*'Vehicle &amp; Station Calculations'!$E$16*('Vehicle &amp; Station Calculations'!N$38/12))+('Vehicle &amp; Station Calculations'!N$21*'Vehicle &amp; Station Calculations'!$F$16*('Vehicle &amp; Station Calculations'!N$39/12))+('Vehicle &amp; Station Calculations'!N$22*'Vehicle &amp; Station Calculations'!$G$16*('Vehicle &amp; Station Calculations'!N$40/12))+('Vehicle &amp; Station Calculations'!N$23*'Vehicle &amp; Station Calculations'!$H$16*('Vehicle &amp; Station Calculations'!N$41/12))+('Vehicle &amp; Station Calculations'!N$24*'Vehicle &amp; Station Calculations'!$I$16*('Vehicle &amp; Station Calculations'!N$42/12))+('Vehicle &amp; Station Calculations'!N$25*'Vehicle &amp; Station Calculations'!$J$16*('Vehicle &amp; Station Calculations'!N$43/12))+('Vehicle &amp; Station Calculations'!N$26*'Vehicle &amp; Station Calculations'!$K$16*('Vehicle &amp; Station Calculations'!N$44/12))</f>
        <v>0</v>
      </c>
      <c r="O26" s="91">
        <f>('Vehicle &amp; Station Calculations'!O$20*'Vehicle &amp; Station Calculations'!$E$16*('Vehicle &amp; Station Calculations'!O$38/12))+('Vehicle &amp; Station Calculations'!O$21*'Vehicle &amp; Station Calculations'!$F$16*('Vehicle &amp; Station Calculations'!O$39/12))+('Vehicle &amp; Station Calculations'!O$22*'Vehicle &amp; Station Calculations'!$G$16*('Vehicle &amp; Station Calculations'!O$40/12))+('Vehicle &amp; Station Calculations'!O$23*'Vehicle &amp; Station Calculations'!$H$16*('Vehicle &amp; Station Calculations'!O$41/12))+('Vehicle &amp; Station Calculations'!O$24*'Vehicle &amp; Station Calculations'!$I$16*('Vehicle &amp; Station Calculations'!O$42/12))+('Vehicle &amp; Station Calculations'!O$25*'Vehicle &amp; Station Calculations'!$J$16*('Vehicle &amp; Station Calculations'!O$43/12))+('Vehicle &amp; Station Calculations'!O$26*'Vehicle &amp; Station Calculations'!$K$16*('Vehicle &amp; Station Calculations'!O$44/12))</f>
        <v>0</v>
      </c>
      <c r="P26" s="91">
        <f>('Vehicle &amp; Station Calculations'!P$20*'Vehicle &amp; Station Calculations'!$E$16*('Vehicle &amp; Station Calculations'!P$38/12))+('Vehicle &amp; Station Calculations'!P$21*'Vehicle &amp; Station Calculations'!$F$16*('Vehicle &amp; Station Calculations'!P$39/12))+('Vehicle &amp; Station Calculations'!P$22*'Vehicle &amp; Station Calculations'!$G$16*('Vehicle &amp; Station Calculations'!P$40/12))+('Vehicle &amp; Station Calculations'!P$23*'Vehicle &amp; Station Calculations'!$H$16*('Vehicle &amp; Station Calculations'!P$41/12))+('Vehicle &amp; Station Calculations'!P$24*'Vehicle &amp; Station Calculations'!$I$16*('Vehicle &amp; Station Calculations'!P$42/12))+('Vehicle &amp; Station Calculations'!P$25*'Vehicle &amp; Station Calculations'!$J$16*('Vehicle &amp; Station Calculations'!P$43/12))+('Vehicle &amp; Station Calculations'!P$26*'Vehicle &amp; Station Calculations'!$K$16*('Vehicle &amp; Station Calculations'!P$44/12))</f>
        <v>0</v>
      </c>
      <c r="Q26" s="91">
        <f>('Vehicle &amp; Station Calculations'!Q$20*'Vehicle &amp; Station Calculations'!$E$16*('Vehicle &amp; Station Calculations'!Q$38/12))+('Vehicle &amp; Station Calculations'!Q$21*'Vehicle &amp; Station Calculations'!$F$16*('Vehicle &amp; Station Calculations'!Q$39/12))+('Vehicle &amp; Station Calculations'!Q$22*'Vehicle &amp; Station Calculations'!$G$16*('Vehicle &amp; Station Calculations'!Q$40/12))+('Vehicle &amp; Station Calculations'!Q$23*'Vehicle &amp; Station Calculations'!$H$16*('Vehicle &amp; Station Calculations'!Q$41/12))+('Vehicle &amp; Station Calculations'!Q$24*'Vehicle &amp; Station Calculations'!$I$16*('Vehicle &amp; Station Calculations'!Q$42/12))+('Vehicle &amp; Station Calculations'!Q$25*'Vehicle &amp; Station Calculations'!$J$16*('Vehicle &amp; Station Calculations'!Q$43/12))+('Vehicle &amp; Station Calculations'!Q$26*'Vehicle &amp; Station Calculations'!$K$16*('Vehicle &amp; Station Calculations'!Q$44/12))</f>
        <v>0</v>
      </c>
      <c r="R26" s="91">
        <f>('Vehicle &amp; Station Calculations'!R$20*'Vehicle &amp; Station Calculations'!$E$16*('Vehicle &amp; Station Calculations'!R$38/12))+('Vehicle &amp; Station Calculations'!R$21*'Vehicle &amp; Station Calculations'!$F$16*('Vehicle &amp; Station Calculations'!R$39/12))+('Vehicle &amp; Station Calculations'!R$22*'Vehicle &amp; Station Calculations'!$G$16*('Vehicle &amp; Station Calculations'!R$40/12))+('Vehicle &amp; Station Calculations'!R$23*'Vehicle &amp; Station Calculations'!$H$16*('Vehicle &amp; Station Calculations'!R$41/12))+('Vehicle &amp; Station Calculations'!R$24*'Vehicle &amp; Station Calculations'!$I$16*('Vehicle &amp; Station Calculations'!R$42/12))+('Vehicle &amp; Station Calculations'!R$25*'Vehicle &amp; Station Calculations'!$J$16*('Vehicle &amp; Station Calculations'!R$43/12))+('Vehicle &amp; Station Calculations'!R$26*'Vehicle &amp; Station Calculations'!$K$16*('Vehicle &amp; Station Calculations'!R$44/12))</f>
        <v>0</v>
      </c>
      <c r="S26" s="91">
        <f>('Vehicle &amp; Station Calculations'!S$20*'Vehicle &amp; Station Calculations'!$E$16*('Vehicle &amp; Station Calculations'!S$38/12))+('Vehicle &amp; Station Calculations'!S$21*'Vehicle &amp; Station Calculations'!$F$16*('Vehicle &amp; Station Calculations'!S$39/12))+('Vehicle &amp; Station Calculations'!S$22*'Vehicle &amp; Station Calculations'!$G$16*('Vehicle &amp; Station Calculations'!S$40/12))+('Vehicle &amp; Station Calculations'!S$23*'Vehicle &amp; Station Calculations'!$H$16*('Vehicle &amp; Station Calculations'!S$41/12))+('Vehicle &amp; Station Calculations'!S$24*'Vehicle &amp; Station Calculations'!$I$16*('Vehicle &amp; Station Calculations'!S$42/12))+('Vehicle &amp; Station Calculations'!S$25*'Vehicle &amp; Station Calculations'!$J$16*('Vehicle &amp; Station Calculations'!S$43/12))+('Vehicle &amp; Station Calculations'!S$26*'Vehicle &amp; Station Calculations'!$K$16*('Vehicle &amp; Station Calculations'!S$44/12))</f>
        <v>0</v>
      </c>
      <c r="T26" s="91">
        <f>('Vehicle &amp; Station Calculations'!T$20*'Vehicle &amp; Station Calculations'!$E$16*('Vehicle &amp; Station Calculations'!T$38/12))+('Vehicle &amp; Station Calculations'!T$21*'Vehicle &amp; Station Calculations'!$F$16*('Vehicle &amp; Station Calculations'!T$39/12))+('Vehicle &amp; Station Calculations'!T$22*'Vehicle &amp; Station Calculations'!$G$16*('Vehicle &amp; Station Calculations'!T$40/12))+('Vehicle &amp; Station Calculations'!T$23*'Vehicle &amp; Station Calculations'!$H$16*('Vehicle &amp; Station Calculations'!T$41/12))+('Vehicle &amp; Station Calculations'!T$24*'Vehicle &amp; Station Calculations'!$I$16*('Vehicle &amp; Station Calculations'!T$42/12))+('Vehicle &amp; Station Calculations'!T$25*'Vehicle &amp; Station Calculations'!$J$16*('Vehicle &amp; Station Calculations'!T$43/12))+('Vehicle &amp; Station Calculations'!T$26*'Vehicle &amp; Station Calculations'!$K$16*('Vehicle &amp; Station Calculations'!T$44/12))</f>
        <v>0</v>
      </c>
      <c r="U26" s="91">
        <f>('Vehicle &amp; Station Calculations'!U$20*'Vehicle &amp; Station Calculations'!$E$16*('Vehicle &amp; Station Calculations'!U$38/12))+('Vehicle &amp; Station Calculations'!U$21*'Vehicle &amp; Station Calculations'!$F$16*('Vehicle &amp; Station Calculations'!U$39/12))+('Vehicle &amp; Station Calculations'!U$22*'Vehicle &amp; Station Calculations'!$G$16*('Vehicle &amp; Station Calculations'!U$40/12))+('Vehicle &amp; Station Calculations'!U$23*'Vehicle &amp; Station Calculations'!$H$16*('Vehicle &amp; Station Calculations'!U$41/12))+('Vehicle &amp; Station Calculations'!U$24*'Vehicle &amp; Station Calculations'!$I$16*('Vehicle &amp; Station Calculations'!U$42/12))+('Vehicle &amp; Station Calculations'!U$25*'Vehicle &amp; Station Calculations'!$J$16*('Vehicle &amp; Station Calculations'!U$43/12))+('Vehicle &amp; Station Calculations'!U$26*'Vehicle &amp; Station Calculations'!$K$16*('Vehicle &amp; Station Calculations'!U$44/12))</f>
        <v>0</v>
      </c>
      <c r="V26" s="91">
        <f>('Vehicle &amp; Station Calculations'!V$20*'Vehicle &amp; Station Calculations'!$E$16*('Vehicle &amp; Station Calculations'!V$38/12))+('Vehicle &amp; Station Calculations'!V$21*'Vehicle &amp; Station Calculations'!$F$16*('Vehicle &amp; Station Calculations'!V$39/12))+('Vehicle &amp; Station Calculations'!V$22*'Vehicle &amp; Station Calculations'!$G$16*('Vehicle &amp; Station Calculations'!V$40/12))+('Vehicle &amp; Station Calculations'!V$23*'Vehicle &amp; Station Calculations'!$H$16*('Vehicle &amp; Station Calculations'!V$41/12))+('Vehicle &amp; Station Calculations'!V$24*'Vehicle &amp; Station Calculations'!$I$16*('Vehicle &amp; Station Calculations'!V$42/12))+('Vehicle &amp; Station Calculations'!V$25*'Vehicle &amp; Station Calculations'!$J$16*('Vehicle &amp; Station Calculations'!V$43/12))+('Vehicle &amp; Station Calculations'!V$26*'Vehicle &amp; Station Calculations'!$K$16*('Vehicle &amp; Station Calculations'!V$44/12))</f>
        <v>0</v>
      </c>
      <c r="W26" s="91">
        <f>('Vehicle &amp; Station Calculations'!W$20*'Vehicle &amp; Station Calculations'!$E$16*('Vehicle &amp; Station Calculations'!W$38/12))+('Vehicle &amp; Station Calculations'!W$21*'Vehicle &amp; Station Calculations'!$F$16*('Vehicle &amp; Station Calculations'!W$39/12))+('Vehicle &amp; Station Calculations'!W$22*'Vehicle &amp; Station Calculations'!$G$16*('Vehicle &amp; Station Calculations'!W$40/12))+('Vehicle &amp; Station Calculations'!W$23*'Vehicle &amp; Station Calculations'!$H$16*('Vehicle &amp; Station Calculations'!W$41/12))+('Vehicle &amp; Station Calculations'!W$24*'Vehicle &amp; Station Calculations'!$I$16*('Vehicle &amp; Station Calculations'!W$42/12))+('Vehicle &amp; Station Calculations'!W$25*'Vehicle &amp; Station Calculations'!$J$16*('Vehicle &amp; Station Calculations'!W$43/12))+('Vehicle &amp; Station Calculations'!W$26*'Vehicle &amp; Station Calculations'!$K$16*('Vehicle &amp; Station Calculations'!W$44/12))</f>
        <v>0</v>
      </c>
      <c r="X26" s="91">
        <f>('Vehicle &amp; Station Calculations'!X$20*'Vehicle &amp; Station Calculations'!$E$16*('Vehicle &amp; Station Calculations'!X$38/12))+('Vehicle &amp; Station Calculations'!X$21*'Vehicle &amp; Station Calculations'!$F$16*('Vehicle &amp; Station Calculations'!X$39/12))+('Vehicle &amp; Station Calculations'!X$22*'Vehicle &amp; Station Calculations'!$G$16*('Vehicle &amp; Station Calculations'!X$40/12))+('Vehicle &amp; Station Calculations'!X$23*'Vehicle &amp; Station Calculations'!$H$16*('Vehicle &amp; Station Calculations'!X$41/12))+('Vehicle &amp; Station Calculations'!X$24*'Vehicle &amp; Station Calculations'!$I$16*('Vehicle &amp; Station Calculations'!X$42/12))+('Vehicle &amp; Station Calculations'!X$25*'Vehicle &amp; Station Calculations'!$J$16*('Vehicle &amp; Station Calculations'!X$43/12))+('Vehicle &amp; Station Calculations'!X$26*'Vehicle &amp; Station Calculations'!$K$16*('Vehicle &amp; Station Calculations'!X$44/12))</f>
        <v>0</v>
      </c>
      <c r="Y26" s="91">
        <f>('Vehicle &amp; Station Calculations'!Y$20*'Vehicle &amp; Station Calculations'!$E$16*('Vehicle &amp; Station Calculations'!Y$38/12))+('Vehicle &amp; Station Calculations'!Y$21*'Vehicle &amp; Station Calculations'!$F$16*('Vehicle &amp; Station Calculations'!Y$39/12))+('Vehicle &amp; Station Calculations'!Y$22*'Vehicle &amp; Station Calculations'!$G$16*('Vehicle &amp; Station Calculations'!Y$40/12))+('Vehicle &amp; Station Calculations'!Y$23*'Vehicle &amp; Station Calculations'!$H$16*('Vehicle &amp; Station Calculations'!Y$41/12))+('Vehicle &amp; Station Calculations'!Y$24*'Vehicle &amp; Station Calculations'!$I$16*('Vehicle &amp; Station Calculations'!Y$42/12))+('Vehicle &amp; Station Calculations'!Y$25*'Vehicle &amp; Station Calculations'!$J$16*('Vehicle &amp; Station Calculations'!Y$43/12))+('Vehicle &amp; Station Calculations'!Y$26*'Vehicle &amp; Station Calculations'!$K$16*('Vehicle &amp; Station Calculations'!Y$44/12))</f>
        <v>0</v>
      </c>
      <c r="Z26" s="86"/>
    </row>
    <row r="27" spans="1:26" x14ac:dyDescent="0.2">
      <c r="A27" s="1"/>
      <c r="B27" s="524" t="s">
        <v>106</v>
      </c>
      <c r="C27" s="524"/>
      <c r="D27" s="524"/>
      <c r="E27" s="93">
        <f>(('Vehicle &amp; Station Calculations'!E$20*'Vehicle &amp; Station Calculations'!$E$15*'Vehicle &amp; Station Calculations'!E$38)+('Vehicle &amp; Station Calculations'!E$21*'Vehicle &amp; Station Calculations'!$F$15*'Vehicle &amp; Station Calculations'!E$39)+('Vehicle &amp; Station Calculations'!E$22*'Vehicle &amp; Station Calculations'!$G$15*'Vehicle &amp; Station Calculations'!E$40)+('Vehicle &amp; Station Calculations'!E$23*'Vehicle &amp; Station Calculations'!$H$15*'Vehicle &amp; Station Calculations'!E$41)+('Vehicle &amp; Station Calculations'!E$24*'Vehicle &amp; Station Calculations'!$I$15*'Vehicle &amp; Station Calculations'!E$42)+('Vehicle &amp; Station Calculations'!E$25*'Vehicle &amp; Station Calculations'!$J$15*'Vehicle &amp; Station Calculations'!E$43)+('Vehicle &amp; Station Calculations'!E$26*'Vehicle &amp; Station Calculations'!$K$15*'Vehicle &amp; Station Calculations'!E$44))*E21</f>
        <v>0</v>
      </c>
      <c r="F27" s="93">
        <f>(('Vehicle &amp; Station Calculations'!F$20*'Vehicle &amp; Station Calculations'!$E$15*'Vehicle &amp; Station Calculations'!F$38)+('Vehicle &amp; Station Calculations'!F$21*'Vehicle &amp; Station Calculations'!$F$15*'Vehicle &amp; Station Calculations'!F$39)+('Vehicle &amp; Station Calculations'!F$22*'Vehicle &amp; Station Calculations'!$G$15*'Vehicle &amp; Station Calculations'!F$40)+('Vehicle &amp; Station Calculations'!F$23*'Vehicle &amp; Station Calculations'!$H$15*'Vehicle &amp; Station Calculations'!F$41)+('Vehicle &amp; Station Calculations'!F$24*'Vehicle &amp; Station Calculations'!$I$15*'Vehicle &amp; Station Calculations'!F$42)+('Vehicle &amp; Station Calculations'!F$25*'Vehicle &amp; Station Calculations'!$J$15*'Vehicle &amp; Station Calculations'!F$43)+('Vehicle &amp; Station Calculations'!F$26*'Vehicle &amp; Station Calculations'!$K$15*'Vehicle &amp; Station Calculations'!F$44))*F21</f>
        <v>0</v>
      </c>
      <c r="G27" s="93">
        <f>(('Vehicle &amp; Station Calculations'!G$20*'Vehicle &amp; Station Calculations'!$E$15*'Vehicle &amp; Station Calculations'!G$38)+('Vehicle &amp; Station Calculations'!G$21*'Vehicle &amp; Station Calculations'!$F$15*'Vehicle &amp; Station Calculations'!G$39)+('Vehicle &amp; Station Calculations'!G$22*'Vehicle &amp; Station Calculations'!$G$15*'Vehicle &amp; Station Calculations'!G$40)+('Vehicle &amp; Station Calculations'!G$23*'Vehicle &amp; Station Calculations'!$H$15*'Vehicle &amp; Station Calculations'!G$41)+('Vehicle &amp; Station Calculations'!G$24*'Vehicle &amp; Station Calculations'!$I$15*'Vehicle &amp; Station Calculations'!G$42)+('Vehicle &amp; Station Calculations'!G$25*'Vehicle &amp; Station Calculations'!$J$15*'Vehicle &amp; Station Calculations'!G$43)+('Vehicle &amp; Station Calculations'!G$26*'Vehicle &amp; Station Calculations'!$K$15*'Vehicle &amp; Station Calculations'!G$44))*G21</f>
        <v>0</v>
      </c>
      <c r="H27" s="93">
        <f>(('Vehicle &amp; Station Calculations'!H$20*'Vehicle &amp; Station Calculations'!$E$15*'Vehicle &amp; Station Calculations'!H$38)+('Vehicle &amp; Station Calculations'!H$21*'Vehicle &amp; Station Calculations'!$F$15*'Vehicle &amp; Station Calculations'!H$39)+('Vehicle &amp; Station Calculations'!H$22*'Vehicle &amp; Station Calculations'!$G$15*'Vehicle &amp; Station Calculations'!H$40)+('Vehicle &amp; Station Calculations'!H$23*'Vehicle &amp; Station Calculations'!$H$15*'Vehicle &amp; Station Calculations'!H$41)+('Vehicle &amp; Station Calculations'!H$24*'Vehicle &amp; Station Calculations'!$I$15*'Vehicle &amp; Station Calculations'!H$42)+('Vehicle &amp; Station Calculations'!H$25*'Vehicle &amp; Station Calculations'!$J$15*'Vehicle &amp; Station Calculations'!H$43)+('Vehicle &amp; Station Calculations'!H$26*'Vehicle &amp; Station Calculations'!$K$15*'Vehicle &amp; Station Calculations'!H$44))*H21</f>
        <v>0</v>
      </c>
      <c r="I27" s="93">
        <f>(('Vehicle &amp; Station Calculations'!I$20*'Vehicle &amp; Station Calculations'!$E$15*'Vehicle &amp; Station Calculations'!I$38)+('Vehicle &amp; Station Calculations'!I$21*'Vehicle &amp; Station Calculations'!$F$15*'Vehicle &amp; Station Calculations'!I$39)+('Vehicle &amp; Station Calculations'!I$22*'Vehicle &amp; Station Calculations'!$G$15*'Vehicle &amp; Station Calculations'!I$40)+('Vehicle &amp; Station Calculations'!I$23*'Vehicle &amp; Station Calculations'!$H$15*'Vehicle &amp; Station Calculations'!I$41)+('Vehicle &amp; Station Calculations'!I$24*'Vehicle &amp; Station Calculations'!$I$15*'Vehicle &amp; Station Calculations'!I$42)+('Vehicle &amp; Station Calculations'!I$25*'Vehicle &amp; Station Calculations'!$J$15*'Vehicle &amp; Station Calculations'!I$43)+('Vehicle &amp; Station Calculations'!I$26*'Vehicle &amp; Station Calculations'!$K$15*'Vehicle &amp; Station Calculations'!I$44))*I21</f>
        <v>0</v>
      </c>
      <c r="J27" s="93">
        <f>(('Vehicle &amp; Station Calculations'!J$20*'Vehicle &amp; Station Calculations'!$E$15*'Vehicle &amp; Station Calculations'!J$38)+('Vehicle &amp; Station Calculations'!J$21*'Vehicle &amp; Station Calculations'!$F$15*'Vehicle &amp; Station Calculations'!J$39)+('Vehicle &amp; Station Calculations'!J$22*'Vehicle &amp; Station Calculations'!$G$15*'Vehicle &amp; Station Calculations'!J$40)+('Vehicle &amp; Station Calculations'!J$23*'Vehicle &amp; Station Calculations'!$H$15*'Vehicle &amp; Station Calculations'!J$41)+('Vehicle &amp; Station Calculations'!J$24*'Vehicle &amp; Station Calculations'!$I$15*'Vehicle &amp; Station Calculations'!J$42)+('Vehicle &amp; Station Calculations'!J$25*'Vehicle &amp; Station Calculations'!$J$15*'Vehicle &amp; Station Calculations'!J$43)+('Vehicle &amp; Station Calculations'!J$26*'Vehicle &amp; Station Calculations'!$K$15*'Vehicle &amp; Station Calculations'!J$44))*J21</f>
        <v>0</v>
      </c>
      <c r="K27" s="93">
        <f>(('Vehicle &amp; Station Calculations'!K$20*'Vehicle &amp; Station Calculations'!$E$15*'Vehicle &amp; Station Calculations'!K$38)+('Vehicle &amp; Station Calculations'!K$21*'Vehicle &amp; Station Calculations'!$F$15*'Vehicle &amp; Station Calculations'!K$39)+('Vehicle &amp; Station Calculations'!K$22*'Vehicle &amp; Station Calculations'!$G$15*'Vehicle &amp; Station Calculations'!K$40)+('Vehicle &amp; Station Calculations'!K$23*'Vehicle &amp; Station Calculations'!$H$15*'Vehicle &amp; Station Calculations'!K$41)+('Vehicle &amp; Station Calculations'!K$24*'Vehicle &amp; Station Calculations'!$I$15*'Vehicle &amp; Station Calculations'!K$42)+('Vehicle &amp; Station Calculations'!K$25*'Vehicle &amp; Station Calculations'!$J$15*'Vehicle &amp; Station Calculations'!K$43)+('Vehicle &amp; Station Calculations'!K$26*'Vehicle &amp; Station Calculations'!$K$15*'Vehicle &amp; Station Calculations'!K$44))*K21</f>
        <v>0</v>
      </c>
      <c r="L27" s="93">
        <f>(('Vehicle &amp; Station Calculations'!L$20*'Vehicle &amp; Station Calculations'!$E$15*'Vehicle &amp; Station Calculations'!L$38)+('Vehicle &amp; Station Calculations'!L$21*'Vehicle &amp; Station Calculations'!$F$15*'Vehicle &amp; Station Calculations'!L$39)+('Vehicle &amp; Station Calculations'!L$22*'Vehicle &amp; Station Calculations'!$G$15*'Vehicle &amp; Station Calculations'!L$40)+('Vehicle &amp; Station Calculations'!L$23*'Vehicle &amp; Station Calculations'!$H$15*'Vehicle &amp; Station Calculations'!L$41)+('Vehicle &amp; Station Calculations'!L$24*'Vehicle &amp; Station Calculations'!$I$15*'Vehicle &amp; Station Calculations'!L$42)+('Vehicle &amp; Station Calculations'!L$25*'Vehicle &amp; Station Calculations'!$J$15*'Vehicle &amp; Station Calculations'!L$43)+('Vehicle &amp; Station Calculations'!L$26*'Vehicle &amp; Station Calculations'!$K$15*'Vehicle &amp; Station Calculations'!L$44))*L21</f>
        <v>0</v>
      </c>
      <c r="M27" s="93">
        <f>(('Vehicle &amp; Station Calculations'!M$20*'Vehicle &amp; Station Calculations'!$E$15*'Vehicle &amp; Station Calculations'!M$38)+('Vehicle &amp; Station Calculations'!M$21*'Vehicle &amp; Station Calculations'!$F$15*'Vehicle &amp; Station Calculations'!M$39)+('Vehicle &amp; Station Calculations'!M$22*'Vehicle &amp; Station Calculations'!$G$15*'Vehicle &amp; Station Calculations'!M$40)+('Vehicle &amp; Station Calculations'!M$23*'Vehicle &amp; Station Calculations'!$H$15*'Vehicle &amp; Station Calculations'!M$41)+('Vehicle &amp; Station Calculations'!M$24*'Vehicle &amp; Station Calculations'!$I$15*'Vehicle &amp; Station Calculations'!M$42)+('Vehicle &amp; Station Calculations'!M$25*'Vehicle &amp; Station Calculations'!$J$15*'Vehicle &amp; Station Calculations'!M$43)+('Vehicle &amp; Station Calculations'!M$26*'Vehicle &amp; Station Calculations'!$K$15*'Vehicle &amp; Station Calculations'!M$44))*M21</f>
        <v>0</v>
      </c>
      <c r="N27" s="93">
        <f>(('Vehicle &amp; Station Calculations'!N$20*'Vehicle &amp; Station Calculations'!$E$15*'Vehicle &amp; Station Calculations'!N$38)+('Vehicle &amp; Station Calculations'!N$21*'Vehicle &amp; Station Calculations'!$F$15*'Vehicle &amp; Station Calculations'!N$39)+('Vehicle &amp; Station Calculations'!N$22*'Vehicle &amp; Station Calculations'!$G$15*'Vehicle &amp; Station Calculations'!N$40)+('Vehicle &amp; Station Calculations'!N$23*'Vehicle &amp; Station Calculations'!$H$15*'Vehicle &amp; Station Calculations'!N$41)+('Vehicle &amp; Station Calculations'!N$24*'Vehicle &amp; Station Calculations'!$I$15*'Vehicle &amp; Station Calculations'!N$42)+('Vehicle &amp; Station Calculations'!N$25*'Vehicle &amp; Station Calculations'!$J$15*'Vehicle &amp; Station Calculations'!N$43)+('Vehicle &amp; Station Calculations'!N$26*'Vehicle &amp; Station Calculations'!$K$15*'Vehicle &amp; Station Calculations'!N$44))*N21</f>
        <v>0</v>
      </c>
      <c r="O27" s="93">
        <f>(('Vehicle &amp; Station Calculations'!O$20*'Vehicle &amp; Station Calculations'!$E$15*'Vehicle &amp; Station Calculations'!O$38)+('Vehicle &amp; Station Calculations'!O$21*'Vehicle &amp; Station Calculations'!$F$15*'Vehicle &amp; Station Calculations'!O$39)+('Vehicle &amp; Station Calculations'!O$22*'Vehicle &amp; Station Calculations'!$G$15*'Vehicle &amp; Station Calculations'!O$40)+('Vehicle &amp; Station Calculations'!O$23*'Vehicle &amp; Station Calculations'!$H$15*'Vehicle &amp; Station Calculations'!O$41)+('Vehicle &amp; Station Calculations'!O$24*'Vehicle &amp; Station Calculations'!$I$15*'Vehicle &amp; Station Calculations'!O$42)+('Vehicle &amp; Station Calculations'!O$25*'Vehicle &amp; Station Calculations'!$J$15*'Vehicle &amp; Station Calculations'!O$43)+('Vehicle &amp; Station Calculations'!O$26*'Vehicle &amp; Station Calculations'!$K$15*'Vehicle &amp; Station Calculations'!O$44))*O21</f>
        <v>0</v>
      </c>
      <c r="P27" s="93">
        <f>(('Vehicle &amp; Station Calculations'!P$20*'Vehicle &amp; Station Calculations'!$E$15*'Vehicle &amp; Station Calculations'!P$38)+('Vehicle &amp; Station Calculations'!P$21*'Vehicle &amp; Station Calculations'!$F$15*'Vehicle &amp; Station Calculations'!P$39)+('Vehicle &amp; Station Calculations'!P$22*'Vehicle &amp; Station Calculations'!$G$15*'Vehicle &amp; Station Calculations'!P$40)+('Vehicle &amp; Station Calculations'!P$23*'Vehicle &amp; Station Calculations'!$H$15*'Vehicle &amp; Station Calculations'!P$41)+('Vehicle &amp; Station Calculations'!P$24*'Vehicle &amp; Station Calculations'!$I$15*'Vehicle &amp; Station Calculations'!P$42)+('Vehicle &amp; Station Calculations'!P$25*'Vehicle &amp; Station Calculations'!$J$15*'Vehicle &amp; Station Calculations'!P$43)+('Vehicle &amp; Station Calculations'!P$26*'Vehicle &amp; Station Calculations'!$K$15*'Vehicle &amp; Station Calculations'!P$44))*P21</f>
        <v>0</v>
      </c>
      <c r="Q27" s="93">
        <f>(('Vehicle &amp; Station Calculations'!Q$20*'Vehicle &amp; Station Calculations'!$E$15*'Vehicle &amp; Station Calculations'!Q$38)+('Vehicle &amp; Station Calculations'!Q$21*'Vehicle &amp; Station Calculations'!$F$15*'Vehicle &amp; Station Calculations'!Q$39)+('Vehicle &amp; Station Calculations'!Q$22*'Vehicle &amp; Station Calculations'!$G$15*'Vehicle &amp; Station Calculations'!Q$40)+('Vehicle &amp; Station Calculations'!Q$23*'Vehicle &amp; Station Calculations'!$H$15*'Vehicle &amp; Station Calculations'!Q$41)+('Vehicle &amp; Station Calculations'!Q$24*'Vehicle &amp; Station Calculations'!$I$15*'Vehicle &amp; Station Calculations'!Q$42)+('Vehicle &amp; Station Calculations'!Q$25*'Vehicle &amp; Station Calculations'!$J$15*'Vehicle &amp; Station Calculations'!Q$43)+('Vehicle &amp; Station Calculations'!Q$26*'Vehicle &amp; Station Calculations'!$K$15*'Vehicle &amp; Station Calculations'!Q$44))*Q21</f>
        <v>0</v>
      </c>
      <c r="R27" s="93">
        <f>(('Vehicle &amp; Station Calculations'!R$20*'Vehicle &amp; Station Calculations'!$E$15*'Vehicle &amp; Station Calculations'!R$38)+('Vehicle &amp; Station Calculations'!R$21*'Vehicle &amp; Station Calculations'!$F$15*'Vehicle &amp; Station Calculations'!R$39)+('Vehicle &amp; Station Calculations'!R$22*'Vehicle &amp; Station Calculations'!$G$15*'Vehicle &amp; Station Calculations'!R$40)+('Vehicle &amp; Station Calculations'!R$23*'Vehicle &amp; Station Calculations'!$H$15*'Vehicle &amp; Station Calculations'!R$41)+('Vehicle &amp; Station Calculations'!R$24*'Vehicle &amp; Station Calculations'!$I$15*'Vehicle &amp; Station Calculations'!R$42)+('Vehicle &amp; Station Calculations'!R$25*'Vehicle &amp; Station Calculations'!$J$15*'Vehicle &amp; Station Calculations'!R$43)+('Vehicle &amp; Station Calculations'!R$26*'Vehicle &amp; Station Calculations'!$K$15*'Vehicle &amp; Station Calculations'!R$44))*R21</f>
        <v>0</v>
      </c>
      <c r="S27" s="93">
        <f>(('Vehicle &amp; Station Calculations'!S$20*'Vehicle &amp; Station Calculations'!$E$15*'Vehicle &amp; Station Calculations'!S$38)+('Vehicle &amp; Station Calculations'!S$21*'Vehicle &amp; Station Calculations'!$F$15*'Vehicle &amp; Station Calculations'!S$39)+('Vehicle &amp; Station Calculations'!S$22*'Vehicle &amp; Station Calculations'!$G$15*'Vehicle &amp; Station Calculations'!S$40)+('Vehicle &amp; Station Calculations'!S$23*'Vehicle &amp; Station Calculations'!$H$15*'Vehicle &amp; Station Calculations'!S$41)+('Vehicle &amp; Station Calculations'!S$24*'Vehicle &amp; Station Calculations'!$I$15*'Vehicle &amp; Station Calculations'!S$42)+('Vehicle &amp; Station Calculations'!S$25*'Vehicle &amp; Station Calculations'!$J$15*'Vehicle &amp; Station Calculations'!S$43)+('Vehicle &amp; Station Calculations'!S$26*'Vehicle &amp; Station Calculations'!$K$15*'Vehicle &amp; Station Calculations'!S$44))*S21</f>
        <v>0</v>
      </c>
      <c r="T27" s="93">
        <f>(('Vehicle &amp; Station Calculations'!T$20*'Vehicle &amp; Station Calculations'!$E$15*'Vehicle &amp; Station Calculations'!T$38)+('Vehicle &amp; Station Calculations'!T$21*'Vehicle &amp; Station Calculations'!$F$15*'Vehicle &amp; Station Calculations'!T$39)+('Vehicle &amp; Station Calculations'!T$22*'Vehicle &amp; Station Calculations'!$G$15*'Vehicle &amp; Station Calculations'!T$40)+('Vehicle &amp; Station Calculations'!T$23*'Vehicle &amp; Station Calculations'!$H$15*'Vehicle &amp; Station Calculations'!T$41)+('Vehicle &amp; Station Calculations'!T$24*'Vehicle &amp; Station Calculations'!$I$15*'Vehicle &amp; Station Calculations'!T$42)+('Vehicle &amp; Station Calculations'!T$25*'Vehicle &amp; Station Calculations'!$J$15*'Vehicle &amp; Station Calculations'!T$43)+('Vehicle &amp; Station Calculations'!T$26*'Vehicle &amp; Station Calculations'!$K$15*'Vehicle &amp; Station Calculations'!T$44))*T21</f>
        <v>0</v>
      </c>
      <c r="U27" s="93">
        <f>(('Vehicle &amp; Station Calculations'!U$20*'Vehicle &amp; Station Calculations'!$E$15*'Vehicle &amp; Station Calculations'!U$38)+('Vehicle &amp; Station Calculations'!U$21*'Vehicle &amp; Station Calculations'!$F$15*'Vehicle &amp; Station Calculations'!U$39)+('Vehicle &amp; Station Calculations'!U$22*'Vehicle &amp; Station Calculations'!$G$15*'Vehicle &amp; Station Calculations'!U$40)+('Vehicle &amp; Station Calculations'!U$23*'Vehicle &amp; Station Calculations'!$H$15*'Vehicle &amp; Station Calculations'!U$41)+('Vehicle &amp; Station Calculations'!U$24*'Vehicle &amp; Station Calculations'!$I$15*'Vehicle &amp; Station Calculations'!U$42)+('Vehicle &amp; Station Calculations'!U$25*'Vehicle &amp; Station Calculations'!$J$15*'Vehicle &amp; Station Calculations'!U$43)+('Vehicle &amp; Station Calculations'!U$26*'Vehicle &amp; Station Calculations'!$K$15*'Vehicle &amp; Station Calculations'!U$44))*U21</f>
        <v>0</v>
      </c>
      <c r="V27" s="93">
        <f>(('Vehicle &amp; Station Calculations'!V$20*'Vehicle &amp; Station Calculations'!$E$15*'Vehicle &amp; Station Calculations'!V$38)+('Vehicle &amp; Station Calculations'!V$21*'Vehicle &amp; Station Calculations'!$F$15*'Vehicle &amp; Station Calculations'!V$39)+('Vehicle &amp; Station Calculations'!V$22*'Vehicle &amp; Station Calculations'!$G$15*'Vehicle &amp; Station Calculations'!V$40)+('Vehicle &amp; Station Calculations'!V$23*'Vehicle &amp; Station Calculations'!$H$15*'Vehicle &amp; Station Calculations'!V$41)+('Vehicle &amp; Station Calculations'!V$24*'Vehicle &amp; Station Calculations'!$I$15*'Vehicle &amp; Station Calculations'!V$42)+('Vehicle &amp; Station Calculations'!V$25*'Vehicle &amp; Station Calculations'!$J$15*'Vehicle &amp; Station Calculations'!V$43)+('Vehicle &amp; Station Calculations'!V$26*'Vehicle &amp; Station Calculations'!$K$15*'Vehicle &amp; Station Calculations'!V$44))*V21</f>
        <v>0</v>
      </c>
      <c r="W27" s="93">
        <f>(('Vehicle &amp; Station Calculations'!W$20*'Vehicle &amp; Station Calculations'!$E$15*'Vehicle &amp; Station Calculations'!W$38)+('Vehicle &amp; Station Calculations'!W$21*'Vehicle &amp; Station Calculations'!$F$15*'Vehicle &amp; Station Calculations'!W$39)+('Vehicle &amp; Station Calculations'!W$22*'Vehicle &amp; Station Calculations'!$G$15*'Vehicle &amp; Station Calculations'!W$40)+('Vehicle &amp; Station Calculations'!W$23*'Vehicle &amp; Station Calculations'!$H$15*'Vehicle &amp; Station Calculations'!W$41)+('Vehicle &amp; Station Calculations'!W$24*'Vehicle &amp; Station Calculations'!$I$15*'Vehicle &amp; Station Calculations'!W$42)+('Vehicle &amp; Station Calculations'!W$25*'Vehicle &amp; Station Calculations'!$J$15*'Vehicle &amp; Station Calculations'!W$43)+('Vehicle &amp; Station Calculations'!W$26*'Vehicle &amp; Station Calculations'!$K$15*'Vehicle &amp; Station Calculations'!W$44))*W21</f>
        <v>0</v>
      </c>
      <c r="X27" s="93">
        <f>(('Vehicle &amp; Station Calculations'!X$20*'Vehicle &amp; Station Calculations'!$E$15*'Vehicle &amp; Station Calculations'!X$38)+('Vehicle &amp; Station Calculations'!X$21*'Vehicle &amp; Station Calculations'!$F$15*'Vehicle &amp; Station Calculations'!X$39)+('Vehicle &amp; Station Calculations'!X$22*'Vehicle &amp; Station Calculations'!$G$15*'Vehicle &amp; Station Calculations'!X$40)+('Vehicle &amp; Station Calculations'!X$23*'Vehicle &amp; Station Calculations'!$H$15*'Vehicle &amp; Station Calculations'!X$41)+('Vehicle &amp; Station Calculations'!X$24*'Vehicle &amp; Station Calculations'!$I$15*'Vehicle &amp; Station Calculations'!X$42)+('Vehicle &amp; Station Calculations'!X$25*'Vehicle &amp; Station Calculations'!$J$15*'Vehicle &amp; Station Calculations'!X$43)+('Vehicle &amp; Station Calculations'!X$26*'Vehicle &amp; Station Calculations'!$K$15*'Vehicle &amp; Station Calculations'!X$44))*X21</f>
        <v>0</v>
      </c>
      <c r="Y27" s="93">
        <f>(('Vehicle &amp; Station Calculations'!Y$20*'Vehicle &amp; Station Calculations'!$E$15*'Vehicle &amp; Station Calculations'!Y$38)+('Vehicle &amp; Station Calculations'!Y$21*'Vehicle &amp; Station Calculations'!$F$15*'Vehicle &amp; Station Calculations'!Y$39)+('Vehicle &amp; Station Calculations'!Y$22*'Vehicle &amp; Station Calculations'!$G$15*'Vehicle &amp; Station Calculations'!Y$40)+('Vehicle &amp; Station Calculations'!Y$23*'Vehicle &amp; Station Calculations'!$H$15*'Vehicle &amp; Station Calculations'!Y$41)+('Vehicle &amp; Station Calculations'!Y$24*'Vehicle &amp; Station Calculations'!$I$15*'Vehicle &amp; Station Calculations'!Y$42)+('Vehicle &amp; Station Calculations'!Y$25*'Vehicle &amp; Station Calculations'!$J$15*'Vehicle &amp; Station Calculations'!Y$43)+('Vehicle &amp; Station Calculations'!Y$26*'Vehicle &amp; Station Calculations'!$K$15*'Vehicle &amp; Station Calculations'!Y$44))*Y21</f>
        <v>0</v>
      </c>
      <c r="Z27" s="86"/>
    </row>
    <row r="28" spans="1:26" s="88" customFormat="1" x14ac:dyDescent="0.2">
      <c r="A28" s="87"/>
      <c r="B28" s="523" t="s">
        <v>107</v>
      </c>
      <c r="C28" s="523"/>
      <c r="D28" s="523"/>
      <c r="E28" s="91">
        <f>IF(Project_Type=2,0,0.383)</f>
        <v>0.38300000000000001</v>
      </c>
      <c r="F28" s="100">
        <f t="shared" ref="F28:Y28" si="8">IF(Project_Type=2,0,(IF(((F23/F17)/12)&lt;300001,((-0.000000225*(((F23/F17)/12)^2))+(0.1257*((F23/F17)/12))+7014.3),(24489+(0.006*(((F23/F17)/12)-300000)))))*F5)</f>
        <v>0</v>
      </c>
      <c r="G28" s="100">
        <f t="shared" si="8"/>
        <v>0</v>
      </c>
      <c r="H28" s="100">
        <f t="shared" si="8"/>
        <v>0</v>
      </c>
      <c r="I28" s="100">
        <f t="shared" si="8"/>
        <v>0</v>
      </c>
      <c r="J28" s="100">
        <f t="shared" si="8"/>
        <v>0</v>
      </c>
      <c r="K28" s="100">
        <f t="shared" si="8"/>
        <v>0</v>
      </c>
      <c r="L28" s="100">
        <f t="shared" si="8"/>
        <v>0</v>
      </c>
      <c r="M28" s="100">
        <f t="shared" si="8"/>
        <v>0</v>
      </c>
      <c r="N28" s="100">
        <f t="shared" si="8"/>
        <v>0</v>
      </c>
      <c r="O28" s="100">
        <f t="shared" si="8"/>
        <v>0</v>
      </c>
      <c r="P28" s="100">
        <f t="shared" si="8"/>
        <v>0</v>
      </c>
      <c r="Q28" s="100">
        <f t="shared" si="8"/>
        <v>0</v>
      </c>
      <c r="R28" s="100">
        <f t="shared" si="8"/>
        <v>0</v>
      </c>
      <c r="S28" s="100">
        <f t="shared" si="8"/>
        <v>0</v>
      </c>
      <c r="T28" s="100">
        <f t="shared" si="8"/>
        <v>0</v>
      </c>
      <c r="U28" s="100">
        <f t="shared" si="8"/>
        <v>0</v>
      </c>
      <c r="V28" s="100">
        <f t="shared" si="8"/>
        <v>0</v>
      </c>
      <c r="W28" s="100">
        <f t="shared" si="8"/>
        <v>0</v>
      </c>
      <c r="X28" s="100">
        <f t="shared" si="8"/>
        <v>0</v>
      </c>
      <c r="Y28" s="100">
        <f t="shared" si="8"/>
        <v>0</v>
      </c>
      <c r="Z28" s="86"/>
    </row>
    <row r="29" spans="1:26" s="88" customFormat="1" x14ac:dyDescent="0.2">
      <c r="A29" s="87"/>
      <c r="B29" s="524" t="s">
        <v>108</v>
      </c>
      <c r="C29" s="524"/>
      <c r="D29" s="524"/>
      <c r="E29" s="93">
        <f>IF(Project_Type=2,0,IF(E22&gt;0,((0.1552*((E23/E17)/12)+27.186)*'Financial Calculations'!E5),0))</f>
        <v>0</v>
      </c>
      <c r="F29" s="93">
        <f>IF(Project_Type=2,0,IF(F22&gt;0,((0.1552*((F23/F17)/12)+27.186)*'Financial Calculations'!F5),0))</f>
        <v>0</v>
      </c>
      <c r="G29" s="93">
        <f>IF(Project_Type=2,0,IF(G22&gt;0,((0.1552*((G23/G17)/12)+27.186)*'Financial Calculations'!G5),0))</f>
        <v>0</v>
      </c>
      <c r="H29" s="93">
        <f>IF(Project_Type=2,0,IF(H22&gt;0,((0.1552*((H23/H17)/12)+27.186)*'Financial Calculations'!H5),0))</f>
        <v>0</v>
      </c>
      <c r="I29" s="93">
        <f>IF(Project_Type=2,0,IF(I22&gt;0,((0.1552*((I23/I17)/12)+27.186)*'Financial Calculations'!I5),0))</f>
        <v>0</v>
      </c>
      <c r="J29" s="93">
        <f>IF(Project_Type=2,0,IF(J22&gt;0,((0.1552*((J23/J17)/12)+27.186)*'Financial Calculations'!J5),0))</f>
        <v>0</v>
      </c>
      <c r="K29" s="93">
        <f>IF(Project_Type=2,0,IF(K22&gt;0,((0.1552*((K23/K17)/12)+27.186)*'Financial Calculations'!K5),0))</f>
        <v>0</v>
      </c>
      <c r="L29" s="93">
        <f>IF(Project_Type=2,0,IF(L22&gt;0,((0.1552*((L23/L17)/12)+27.186)*'Financial Calculations'!L5),0))</f>
        <v>0</v>
      </c>
      <c r="M29" s="93">
        <f>IF(Project_Type=2,0,IF(M22&gt;0,((0.1552*((M23/M17)/12)+27.186)*'Financial Calculations'!M5),0))</f>
        <v>0</v>
      </c>
      <c r="N29" s="93">
        <f>IF(Project_Type=2,0,IF(N22&gt;0,((0.1552*((N23/N17)/12)+27.186)*'Financial Calculations'!N5),0))</f>
        <v>0</v>
      </c>
      <c r="O29" s="93">
        <f>IF(Project_Type=2,0,IF(O22&gt;0,((0.1552*((O23/O17)/12)+27.186)*'Financial Calculations'!O5),0))</f>
        <v>0</v>
      </c>
      <c r="P29" s="93">
        <f>IF(Project_Type=2,0,IF(P22&gt;0,((0.1552*((P23/P17)/12)+27.186)*'Financial Calculations'!P5),0))</f>
        <v>0</v>
      </c>
      <c r="Q29" s="93">
        <f>IF(Project_Type=2,0,IF(Q22&gt;0,((0.1552*((Q23/Q17)/12)+27.186)*'Financial Calculations'!Q5),0))</f>
        <v>0</v>
      </c>
      <c r="R29" s="93">
        <f>IF(Project_Type=2,0,IF(R22&gt;0,((0.1552*((R23/R17)/12)+27.186)*'Financial Calculations'!R5),0))</f>
        <v>0</v>
      </c>
      <c r="S29" s="93">
        <f>IF(Project_Type=2,0,IF(S22&gt;0,((0.1552*((S23/S17)/12)+27.186)*'Financial Calculations'!S5),0))</f>
        <v>0</v>
      </c>
      <c r="T29" s="93">
        <f>IF(Project_Type=2,0,IF(T22&gt;0,((0.1552*((T23/T17)/12)+27.186)*'Financial Calculations'!T5),0))</f>
        <v>0</v>
      </c>
      <c r="U29" s="93">
        <f>IF(Project_Type=2,0,IF(U22&gt;0,((0.1552*((U23/U17)/12)+27.186)*'Financial Calculations'!U5),0))</f>
        <v>0</v>
      </c>
      <c r="V29" s="93">
        <f>IF(Project_Type=2,0,IF(V22&gt;0,((0.1552*((V23/V17)/12)+27.186)*'Financial Calculations'!V5),0))</f>
        <v>0</v>
      </c>
      <c r="W29" s="93">
        <f>IF(Project_Type=2,0,IF(W22&gt;0,((0.1552*((W23/W17)/12)+27.186)*'Financial Calculations'!W5),0))</f>
        <v>0</v>
      </c>
      <c r="X29" s="93">
        <f>IF(Project_Type=2,0,IF(X22&gt;0,((0.1552*((X23/X17)/12)+27.186)*'Financial Calculations'!X5),0))</f>
        <v>0</v>
      </c>
      <c r="Y29" s="93">
        <f>IF(Project_Type=2,0,IF(Y22&gt;0,((0.1552*((Y23/Y17)/12)+27.186)*'Financial Calculations'!Y5),0))</f>
        <v>0</v>
      </c>
      <c r="Z29" s="86"/>
    </row>
    <row r="30" spans="1:26" x14ac:dyDescent="0.2">
      <c r="A30" s="1"/>
      <c r="B30" s="523" t="s">
        <v>109</v>
      </c>
      <c r="C30" s="523"/>
      <c r="D30" s="523"/>
      <c r="E30" s="91">
        <f>(('Vehicle &amp; Station Calculations'!E20*'Vehicle &amp; Station Calculations'!E38*'Vehicle &amp; Station Calculations'!E17)+('Vehicle &amp; Station Calculations'!E21*'Vehicle &amp; Station Calculations'!E39*'Vehicle &amp; Station Calculations'!F17)+('Vehicle &amp; Station Calculations'!E22*'Vehicle &amp; Station Calculations'!E40*'Vehicle &amp; Station Calculations'!G17)+('Vehicle &amp; Station Calculations'!E23*'Vehicle &amp; Station Calculations'!E41*'Vehicle &amp; Station Calculations'!H17)+('Vehicle &amp; Station Calculations'!E24*'Vehicle &amp; Station Calculations'!E42*'Vehicle &amp; Station Calculations'!I17)+('Vehicle &amp; Station Calculations'!E25*'Vehicle &amp; Station Calculations'!E43*'Vehicle &amp; Station Calculations'!J17)+('Vehicle &amp; Station Calculations'!E26*'Vehicle &amp; Station Calculations'!E44*'Vehicle &amp; Station Calculations'!K17))*Hossler_Cost</f>
        <v>0</v>
      </c>
      <c r="F30" s="91">
        <f>(('Vehicle &amp; Station Calculations'!F20*'Vehicle &amp; Station Calculations'!F38*'Vehicle &amp; Station Calculations'!F17)+('Vehicle &amp; Station Calculations'!F21*'Vehicle &amp; Station Calculations'!F39*'Vehicle &amp; Station Calculations'!G17)+('Vehicle &amp; Station Calculations'!F22*'Vehicle &amp; Station Calculations'!F40*'Vehicle &amp; Station Calculations'!H17)+('Vehicle &amp; Station Calculations'!F23*'Vehicle &amp; Station Calculations'!F41*'Vehicle &amp; Station Calculations'!I17)+('Vehicle &amp; Station Calculations'!F24*'Vehicle &amp; Station Calculations'!F42*'Vehicle &amp; Station Calculations'!J17)+('Vehicle &amp; Station Calculations'!F25*'Vehicle &amp; Station Calculations'!F43*'Vehicle &amp; Station Calculations'!K17)+('Vehicle &amp; Station Calculations'!F26*'Vehicle &amp; Station Calculations'!F44*'Vehicle &amp; Station Calculations'!L17))*Hossler_Cost</f>
        <v>0</v>
      </c>
      <c r="G30" s="91">
        <f>(('Vehicle &amp; Station Calculations'!G20*'Vehicle &amp; Station Calculations'!G38*'Vehicle &amp; Station Calculations'!G17)+('Vehicle &amp; Station Calculations'!G21*'Vehicle &amp; Station Calculations'!G39*'Vehicle &amp; Station Calculations'!H17)+('Vehicle &amp; Station Calculations'!G22*'Vehicle &amp; Station Calculations'!G40*'Vehicle &amp; Station Calculations'!I17)+('Vehicle &amp; Station Calculations'!G23*'Vehicle &amp; Station Calculations'!G41*'Vehicle &amp; Station Calculations'!J17)+('Vehicle &amp; Station Calculations'!G24*'Vehicle &amp; Station Calculations'!G42*'Vehicle &amp; Station Calculations'!K17)+('Vehicle &amp; Station Calculations'!G25*'Vehicle &amp; Station Calculations'!G43*'Vehicle &amp; Station Calculations'!L17)+('Vehicle &amp; Station Calculations'!G26*'Vehicle &amp; Station Calculations'!G44*'Vehicle &amp; Station Calculations'!M17))*Hossler_Cost</f>
        <v>0</v>
      </c>
      <c r="H30" s="91">
        <f>(('Vehicle &amp; Station Calculations'!H20*'Vehicle &amp; Station Calculations'!H38*'Vehicle &amp; Station Calculations'!H17)+('Vehicle &amp; Station Calculations'!H21*'Vehicle &amp; Station Calculations'!H39*'Vehicle &amp; Station Calculations'!I17)+('Vehicle &amp; Station Calculations'!H22*'Vehicle &amp; Station Calculations'!H40*'Vehicle &amp; Station Calculations'!J17)+('Vehicle &amp; Station Calculations'!H23*'Vehicle &amp; Station Calculations'!H41*'Vehicle &amp; Station Calculations'!K17)+('Vehicle &amp; Station Calculations'!H24*'Vehicle &amp; Station Calculations'!H42*'Vehicle &amp; Station Calculations'!L17)+('Vehicle &amp; Station Calculations'!H25*'Vehicle &amp; Station Calculations'!H43*'Vehicle &amp; Station Calculations'!M17)+('Vehicle &amp; Station Calculations'!H26*'Vehicle &amp; Station Calculations'!H44*'Vehicle &amp; Station Calculations'!N17))*Hossler_Cost</f>
        <v>0</v>
      </c>
      <c r="I30" s="91">
        <f>(('Vehicle &amp; Station Calculations'!I20*'Vehicle &amp; Station Calculations'!I38*'Vehicle &amp; Station Calculations'!I17)+('Vehicle &amp; Station Calculations'!I21*'Vehicle &amp; Station Calculations'!I39*'Vehicle &amp; Station Calculations'!J17)+('Vehicle &amp; Station Calculations'!I22*'Vehicle &amp; Station Calculations'!I40*'Vehicle &amp; Station Calculations'!K17)+('Vehicle &amp; Station Calculations'!I23*'Vehicle &amp; Station Calculations'!I41*'Vehicle &amp; Station Calculations'!L17)+('Vehicle &amp; Station Calculations'!I24*'Vehicle &amp; Station Calculations'!I42*'Vehicle &amp; Station Calculations'!M17)+('Vehicle &amp; Station Calculations'!I25*'Vehicle &amp; Station Calculations'!I43*'Vehicle &amp; Station Calculations'!N17)+('Vehicle &amp; Station Calculations'!I26*'Vehicle &amp; Station Calculations'!I44*'Vehicle &amp; Station Calculations'!O17))*Hossler_Cost</f>
        <v>0</v>
      </c>
      <c r="J30" s="91">
        <f>(('Vehicle &amp; Station Calculations'!J20*'Vehicle &amp; Station Calculations'!J38*'Vehicle &amp; Station Calculations'!J17)+('Vehicle &amp; Station Calculations'!J21*'Vehicle &amp; Station Calculations'!J39*'Vehicle &amp; Station Calculations'!K17)+('Vehicle &amp; Station Calculations'!J22*'Vehicle &amp; Station Calculations'!J40*'Vehicle &amp; Station Calculations'!L17)+('Vehicle &amp; Station Calculations'!J23*'Vehicle &amp; Station Calculations'!J41*'Vehicle &amp; Station Calculations'!M17)+('Vehicle &amp; Station Calculations'!J24*'Vehicle &amp; Station Calculations'!J42*'Vehicle &amp; Station Calculations'!N17)+('Vehicle &amp; Station Calculations'!J25*'Vehicle &amp; Station Calculations'!J43*'Vehicle &amp; Station Calculations'!O17)+('Vehicle &amp; Station Calculations'!J26*'Vehicle &amp; Station Calculations'!J44*'Vehicle &amp; Station Calculations'!P17))*Hossler_Cost</f>
        <v>0</v>
      </c>
      <c r="K30" s="91">
        <f>(('Vehicle &amp; Station Calculations'!K20*'Vehicle &amp; Station Calculations'!K38*'Vehicle &amp; Station Calculations'!K17)+('Vehicle &amp; Station Calculations'!K21*'Vehicle &amp; Station Calculations'!K39*'Vehicle &amp; Station Calculations'!L17)+('Vehicle &amp; Station Calculations'!K22*'Vehicle &amp; Station Calculations'!K40*'Vehicle &amp; Station Calculations'!M17)+('Vehicle &amp; Station Calculations'!K23*'Vehicle &amp; Station Calculations'!K41*'Vehicle &amp; Station Calculations'!N17)+('Vehicle &amp; Station Calculations'!K24*'Vehicle &amp; Station Calculations'!K42*'Vehicle &amp; Station Calculations'!O17)+('Vehicle &amp; Station Calculations'!K25*'Vehicle &amp; Station Calculations'!K43*'Vehicle &amp; Station Calculations'!P17)+('Vehicle &amp; Station Calculations'!K26*'Vehicle &amp; Station Calculations'!K44*'Vehicle &amp; Station Calculations'!Q17))*Hossler_Cost</f>
        <v>0</v>
      </c>
      <c r="L30" s="91">
        <f>(('Vehicle &amp; Station Calculations'!L20*'Vehicle &amp; Station Calculations'!L38*'Vehicle &amp; Station Calculations'!L17)+('Vehicle &amp; Station Calculations'!L21*'Vehicle &amp; Station Calculations'!L39*'Vehicle &amp; Station Calculations'!M17)+('Vehicle &amp; Station Calculations'!L22*'Vehicle &amp; Station Calculations'!L40*'Vehicle &amp; Station Calculations'!N17)+('Vehicle &amp; Station Calculations'!L23*'Vehicle &amp; Station Calculations'!L41*'Vehicle &amp; Station Calculations'!O17)+('Vehicle &amp; Station Calculations'!L24*'Vehicle &amp; Station Calculations'!L42*'Vehicle &amp; Station Calculations'!P17)+('Vehicle &amp; Station Calculations'!L25*'Vehicle &amp; Station Calculations'!L43*'Vehicle &amp; Station Calculations'!Q17)+('Vehicle &amp; Station Calculations'!L26*'Vehicle &amp; Station Calculations'!L44*'Vehicle &amp; Station Calculations'!R17))*Hossler_Cost</f>
        <v>0</v>
      </c>
      <c r="M30" s="91">
        <f>(('Vehicle &amp; Station Calculations'!M20*'Vehicle &amp; Station Calculations'!M38*'Vehicle &amp; Station Calculations'!M17)+('Vehicle &amp; Station Calculations'!M21*'Vehicle &amp; Station Calculations'!M39*'Vehicle &amp; Station Calculations'!N17)+('Vehicle &amp; Station Calculations'!M22*'Vehicle &amp; Station Calculations'!M40*'Vehicle &amp; Station Calculations'!O17)+('Vehicle &amp; Station Calculations'!M23*'Vehicle &amp; Station Calculations'!M41*'Vehicle &amp; Station Calculations'!P17)+('Vehicle &amp; Station Calculations'!M24*'Vehicle &amp; Station Calculations'!M42*'Vehicle &amp; Station Calculations'!Q17)+('Vehicle &amp; Station Calculations'!M25*'Vehicle &amp; Station Calculations'!M43*'Vehicle &amp; Station Calculations'!R17)+('Vehicle &amp; Station Calculations'!M26*'Vehicle &amp; Station Calculations'!M44*'Vehicle &amp; Station Calculations'!S17))*Hossler_Cost</f>
        <v>0</v>
      </c>
      <c r="N30" s="91">
        <f>(('Vehicle &amp; Station Calculations'!N20*'Vehicle &amp; Station Calculations'!N38*'Vehicle &amp; Station Calculations'!N17)+('Vehicle &amp; Station Calculations'!N21*'Vehicle &amp; Station Calculations'!N39*'Vehicle &amp; Station Calculations'!O17)+('Vehicle &amp; Station Calculations'!N22*'Vehicle &amp; Station Calculations'!N40*'Vehicle &amp; Station Calculations'!P17)+('Vehicle &amp; Station Calculations'!N23*'Vehicle &amp; Station Calculations'!N41*'Vehicle &amp; Station Calculations'!Q17)+('Vehicle &amp; Station Calculations'!N24*'Vehicle &amp; Station Calculations'!N42*'Vehicle &amp; Station Calculations'!R17)+('Vehicle &amp; Station Calculations'!N25*'Vehicle &amp; Station Calculations'!N43*'Vehicle &amp; Station Calculations'!S17)+('Vehicle &amp; Station Calculations'!N26*'Vehicle &amp; Station Calculations'!N44*'Vehicle &amp; Station Calculations'!T17))*Hossler_Cost</f>
        <v>0</v>
      </c>
      <c r="O30" s="91">
        <f>(('Vehicle &amp; Station Calculations'!O20*'Vehicle &amp; Station Calculations'!O38*'Vehicle &amp; Station Calculations'!O17)+('Vehicle &amp; Station Calculations'!O21*'Vehicle &amp; Station Calculations'!O39*'Vehicle &amp; Station Calculations'!P17)+('Vehicle &amp; Station Calculations'!O22*'Vehicle &amp; Station Calculations'!O40*'Vehicle &amp; Station Calculations'!Q17)+('Vehicle &amp; Station Calculations'!O23*'Vehicle &amp; Station Calculations'!O41*'Vehicle &amp; Station Calculations'!R17)+('Vehicle &amp; Station Calculations'!O24*'Vehicle &amp; Station Calculations'!O42*'Vehicle &amp; Station Calculations'!S17)+('Vehicle &amp; Station Calculations'!O25*'Vehicle &amp; Station Calculations'!O43*'Vehicle &amp; Station Calculations'!T17)+('Vehicle &amp; Station Calculations'!O26*'Vehicle &amp; Station Calculations'!O44*'Vehicle &amp; Station Calculations'!U17))*Hossler_Cost</f>
        <v>0</v>
      </c>
      <c r="P30" s="91">
        <f>(('Vehicle &amp; Station Calculations'!P20*'Vehicle &amp; Station Calculations'!P38*'Vehicle &amp; Station Calculations'!P17)+('Vehicle &amp; Station Calculations'!P21*'Vehicle &amp; Station Calculations'!P39*'Vehicle &amp; Station Calculations'!Q17)+('Vehicle &amp; Station Calculations'!P22*'Vehicle &amp; Station Calculations'!P40*'Vehicle &amp; Station Calculations'!R17)+('Vehicle &amp; Station Calculations'!P23*'Vehicle &amp; Station Calculations'!P41*'Vehicle &amp; Station Calculations'!S17)+('Vehicle &amp; Station Calculations'!P24*'Vehicle &amp; Station Calculations'!P42*'Vehicle &amp; Station Calculations'!T17)+('Vehicle &amp; Station Calculations'!P25*'Vehicle &amp; Station Calculations'!P43*'Vehicle &amp; Station Calculations'!U17)+('Vehicle &amp; Station Calculations'!P26*'Vehicle &amp; Station Calculations'!P44*'Vehicle &amp; Station Calculations'!V17))*Hossler_Cost</f>
        <v>0</v>
      </c>
      <c r="Q30" s="91">
        <f>(('Vehicle &amp; Station Calculations'!Q20*'Vehicle &amp; Station Calculations'!Q38*'Vehicle &amp; Station Calculations'!Q17)+('Vehicle &amp; Station Calculations'!Q21*'Vehicle &amp; Station Calculations'!Q39*'Vehicle &amp; Station Calculations'!R17)+('Vehicle &amp; Station Calculations'!Q22*'Vehicle &amp; Station Calculations'!Q40*'Vehicle &amp; Station Calculations'!S17)+('Vehicle &amp; Station Calculations'!Q23*'Vehicle &amp; Station Calculations'!Q41*'Vehicle &amp; Station Calculations'!T17)+('Vehicle &amp; Station Calculations'!Q24*'Vehicle &amp; Station Calculations'!Q42*'Vehicle &amp; Station Calculations'!U17)+('Vehicle &amp; Station Calculations'!Q25*'Vehicle &amp; Station Calculations'!Q43*'Vehicle &amp; Station Calculations'!V17)+('Vehicle &amp; Station Calculations'!Q26*'Vehicle &amp; Station Calculations'!Q44*'Vehicle &amp; Station Calculations'!W17))*Hossler_Cost</f>
        <v>0</v>
      </c>
      <c r="R30" s="91">
        <f>(('Vehicle &amp; Station Calculations'!R20*'Vehicle &amp; Station Calculations'!R38*'Vehicle &amp; Station Calculations'!R17)+('Vehicle &amp; Station Calculations'!R21*'Vehicle &amp; Station Calculations'!R39*'Vehicle &amp; Station Calculations'!S17)+('Vehicle &amp; Station Calculations'!R22*'Vehicle &amp; Station Calculations'!R40*'Vehicle &amp; Station Calculations'!T17)+('Vehicle &amp; Station Calculations'!R23*'Vehicle &amp; Station Calculations'!R41*'Vehicle &amp; Station Calculations'!U17)+('Vehicle &amp; Station Calculations'!R24*'Vehicle &amp; Station Calculations'!R42*'Vehicle &amp; Station Calculations'!V17)+('Vehicle &amp; Station Calculations'!R25*'Vehicle &amp; Station Calculations'!R43*'Vehicle &amp; Station Calculations'!W17)+('Vehicle &amp; Station Calculations'!R26*'Vehicle &amp; Station Calculations'!R44*'Vehicle &amp; Station Calculations'!X17))*Hossler_Cost</f>
        <v>0</v>
      </c>
      <c r="S30" s="91">
        <f>(('Vehicle &amp; Station Calculations'!S20*'Vehicle &amp; Station Calculations'!S38*'Vehicle &amp; Station Calculations'!S17)+('Vehicle &amp; Station Calculations'!S21*'Vehicle &amp; Station Calculations'!S39*'Vehicle &amp; Station Calculations'!T17)+('Vehicle &amp; Station Calculations'!S22*'Vehicle &amp; Station Calculations'!S40*'Vehicle &amp; Station Calculations'!U17)+('Vehicle &amp; Station Calculations'!S23*'Vehicle &amp; Station Calculations'!S41*'Vehicle &amp; Station Calculations'!V17)+('Vehicle &amp; Station Calculations'!S24*'Vehicle &amp; Station Calculations'!S42*'Vehicle &amp; Station Calculations'!W17)+('Vehicle &amp; Station Calculations'!S25*'Vehicle &amp; Station Calculations'!S43*'Vehicle &amp; Station Calculations'!X17)+('Vehicle &amp; Station Calculations'!S26*'Vehicle &amp; Station Calculations'!S44*'Vehicle &amp; Station Calculations'!Y17))*Hossler_Cost</f>
        <v>0</v>
      </c>
      <c r="T30" s="91">
        <f>(('Vehicle &amp; Station Calculations'!T20*'Vehicle &amp; Station Calculations'!T38*'Vehicle &amp; Station Calculations'!T17)+('Vehicle &amp; Station Calculations'!T21*'Vehicle &amp; Station Calculations'!T39*'Vehicle &amp; Station Calculations'!U17)+('Vehicle &amp; Station Calculations'!T22*'Vehicle &amp; Station Calculations'!T40*'Vehicle &amp; Station Calculations'!V17)+('Vehicle &amp; Station Calculations'!T23*'Vehicle &amp; Station Calculations'!T41*'Vehicle &amp; Station Calculations'!W17)+('Vehicle &amp; Station Calculations'!T24*'Vehicle &amp; Station Calculations'!T42*'Vehicle &amp; Station Calculations'!X17)+('Vehicle &amp; Station Calculations'!T25*'Vehicle &amp; Station Calculations'!T43*'Vehicle &amp; Station Calculations'!Y17)+('Vehicle &amp; Station Calculations'!T26*'Vehicle &amp; Station Calculations'!T44*'Vehicle &amp; Station Calculations'!Z17))*Hossler_Cost</f>
        <v>0</v>
      </c>
      <c r="U30" s="91">
        <f>(('Vehicle &amp; Station Calculations'!U20*'Vehicle &amp; Station Calculations'!U38*'Vehicle &amp; Station Calculations'!U17)+('Vehicle &amp; Station Calculations'!U21*'Vehicle &amp; Station Calculations'!U39*'Vehicle &amp; Station Calculations'!V17)+('Vehicle &amp; Station Calculations'!U22*'Vehicle &amp; Station Calculations'!U40*'Vehicle &amp; Station Calculations'!W17)+('Vehicle &amp; Station Calculations'!U23*'Vehicle &amp; Station Calculations'!U41*'Vehicle &amp; Station Calculations'!X17)+('Vehicle &amp; Station Calculations'!U24*'Vehicle &amp; Station Calculations'!U42*'Vehicle &amp; Station Calculations'!Y17)+('Vehicle &amp; Station Calculations'!U25*'Vehicle &amp; Station Calculations'!U43*'Vehicle &amp; Station Calculations'!Z17)+('Vehicle &amp; Station Calculations'!U26*'Vehicle &amp; Station Calculations'!U44*'Vehicle &amp; Station Calculations'!AA17))*Hossler_Cost</f>
        <v>0</v>
      </c>
      <c r="V30" s="91">
        <f>(('Vehicle &amp; Station Calculations'!V20*'Vehicle &amp; Station Calculations'!V38*'Vehicle &amp; Station Calculations'!V17)+('Vehicle &amp; Station Calculations'!V21*'Vehicle &amp; Station Calculations'!V39*'Vehicle &amp; Station Calculations'!W17)+('Vehicle &amp; Station Calculations'!V22*'Vehicle &amp; Station Calculations'!V40*'Vehicle &amp; Station Calculations'!X17)+('Vehicle &amp; Station Calculations'!V23*'Vehicle &amp; Station Calculations'!V41*'Vehicle &amp; Station Calculations'!Y17)+('Vehicle &amp; Station Calculations'!V24*'Vehicle &amp; Station Calculations'!V42*'Vehicle &amp; Station Calculations'!Z17)+('Vehicle &amp; Station Calculations'!V25*'Vehicle &amp; Station Calculations'!V43*'Vehicle &amp; Station Calculations'!AA17)+('Vehicle &amp; Station Calculations'!V26*'Vehicle &amp; Station Calculations'!V44*'Vehicle &amp; Station Calculations'!AB17))*Hossler_Cost</f>
        <v>0</v>
      </c>
      <c r="W30" s="91">
        <f>(('Vehicle &amp; Station Calculations'!W20*'Vehicle &amp; Station Calculations'!W38*'Vehicle &amp; Station Calculations'!W17)+('Vehicle &amp; Station Calculations'!W21*'Vehicle &amp; Station Calculations'!W39*'Vehicle &amp; Station Calculations'!X17)+('Vehicle &amp; Station Calculations'!W22*'Vehicle &amp; Station Calculations'!W40*'Vehicle &amp; Station Calculations'!Y17)+('Vehicle &amp; Station Calculations'!W23*'Vehicle &amp; Station Calculations'!W41*'Vehicle &amp; Station Calculations'!Z17)+('Vehicle &amp; Station Calculations'!W24*'Vehicle &amp; Station Calculations'!W42*'Vehicle &amp; Station Calculations'!AA17)+('Vehicle &amp; Station Calculations'!W25*'Vehicle &amp; Station Calculations'!W43*'Vehicle &amp; Station Calculations'!AB17)+('Vehicle &amp; Station Calculations'!W26*'Vehicle &amp; Station Calculations'!W44*'Vehicle &amp; Station Calculations'!AC17))*Hossler_Cost</f>
        <v>0</v>
      </c>
      <c r="X30" s="91">
        <f>(('Vehicle &amp; Station Calculations'!X20*'Vehicle &amp; Station Calculations'!X38*'Vehicle &amp; Station Calculations'!X17)+('Vehicle &amp; Station Calculations'!X21*'Vehicle &amp; Station Calculations'!X39*'Vehicle &amp; Station Calculations'!Y17)+('Vehicle &amp; Station Calculations'!X22*'Vehicle &amp; Station Calculations'!X40*'Vehicle &amp; Station Calculations'!Z17)+('Vehicle &amp; Station Calculations'!X23*'Vehicle &amp; Station Calculations'!X41*'Vehicle &amp; Station Calculations'!AA17)+('Vehicle &amp; Station Calculations'!X24*'Vehicle &amp; Station Calculations'!X42*'Vehicle &amp; Station Calculations'!AB17)+('Vehicle &amp; Station Calculations'!X25*'Vehicle &amp; Station Calculations'!X43*'Vehicle &amp; Station Calculations'!AC17)+('Vehicle &amp; Station Calculations'!X26*'Vehicle &amp; Station Calculations'!X44*'Vehicle &amp; Station Calculations'!AD17))*Hossler_Cost</f>
        <v>0</v>
      </c>
      <c r="Y30" s="91">
        <f>(('Vehicle &amp; Station Calculations'!Y20*'Vehicle &amp; Station Calculations'!Y38*'Vehicle &amp; Station Calculations'!Y17)+('Vehicle &amp; Station Calculations'!Y21*'Vehicle &amp; Station Calculations'!Y39*'Vehicle &amp; Station Calculations'!Z17)+('Vehicle &amp; Station Calculations'!Y22*'Vehicle &amp; Station Calculations'!Y40*'Vehicle &amp; Station Calculations'!AA17)+('Vehicle &amp; Station Calculations'!Y23*'Vehicle &amp; Station Calculations'!Y41*'Vehicle &amp; Station Calculations'!AB17)+('Vehicle &amp; Station Calculations'!Y24*'Vehicle &amp; Station Calculations'!Y42*'Vehicle &amp; Station Calculations'!AC17)+('Vehicle &amp; Station Calculations'!Y25*'Vehicle &amp; Station Calculations'!Y43*'Vehicle &amp; Station Calculations'!AD17)+('Vehicle &amp; Station Calculations'!Y26*'Vehicle &amp; Station Calculations'!Y44*'Vehicle &amp; Station Calculations'!AE17))*Hossler_Cost</f>
        <v>0</v>
      </c>
      <c r="Z30" s="86"/>
    </row>
    <row r="31" spans="1:26" x14ac:dyDescent="0.2">
      <c r="B31" s="94"/>
      <c r="C31" s="94"/>
      <c r="D31" s="94"/>
      <c r="E31" s="101">
        <v>0</v>
      </c>
      <c r="F31" s="101">
        <v>1</v>
      </c>
      <c r="G31" s="101">
        <v>2</v>
      </c>
      <c r="H31" s="101">
        <v>3</v>
      </c>
      <c r="I31" s="101">
        <v>4</v>
      </c>
      <c r="J31" s="101">
        <v>5</v>
      </c>
      <c r="K31" s="101">
        <v>6</v>
      </c>
      <c r="L31" s="101">
        <v>7</v>
      </c>
      <c r="M31" s="101">
        <v>8</v>
      </c>
      <c r="N31" s="101">
        <v>9</v>
      </c>
      <c r="O31" s="101">
        <v>10</v>
      </c>
      <c r="P31" s="101">
        <v>11</v>
      </c>
      <c r="Q31" s="101">
        <v>12</v>
      </c>
      <c r="R31" s="101">
        <v>13</v>
      </c>
      <c r="S31" s="101">
        <v>14</v>
      </c>
      <c r="T31" s="101">
        <v>15</v>
      </c>
      <c r="U31" s="101">
        <v>16</v>
      </c>
      <c r="V31" s="101">
        <v>17</v>
      </c>
      <c r="W31" s="101">
        <v>18</v>
      </c>
      <c r="X31" s="101">
        <v>19</v>
      </c>
      <c r="Y31" s="101">
        <v>20</v>
      </c>
      <c r="Z31" s="86"/>
    </row>
    <row r="32" spans="1:26" s="88" customFormat="1" x14ac:dyDescent="0.2">
      <c r="A32" s="87"/>
      <c r="B32" s="525" t="s">
        <v>112</v>
      </c>
      <c r="C32" s="526"/>
      <c r="D32" s="97"/>
      <c r="E32" s="98">
        <f>E24+E25+E26+E27-E22-E23-E28-E29-E11</f>
        <v>-0.38300000000000001</v>
      </c>
      <c r="F32" s="98">
        <f>SUM(F24:F27)-SUM(F22:F23,F28:F30,F11)</f>
        <v>0</v>
      </c>
      <c r="G32" s="98">
        <f t="shared" ref="G32:Y32" si="9">SUM(G24:G27)-SUM(G22:G23,G28:G30,G11)</f>
        <v>0</v>
      </c>
      <c r="H32" s="98">
        <f t="shared" si="9"/>
        <v>0</v>
      </c>
      <c r="I32" s="98">
        <f t="shared" si="9"/>
        <v>0</v>
      </c>
      <c r="J32" s="98">
        <f t="shared" si="9"/>
        <v>0</v>
      </c>
      <c r="K32" s="98">
        <f t="shared" si="9"/>
        <v>0</v>
      </c>
      <c r="L32" s="98">
        <f t="shared" si="9"/>
        <v>0</v>
      </c>
      <c r="M32" s="98">
        <f t="shared" si="9"/>
        <v>0</v>
      </c>
      <c r="N32" s="98">
        <f t="shared" si="9"/>
        <v>0</v>
      </c>
      <c r="O32" s="98">
        <f t="shared" si="9"/>
        <v>0</v>
      </c>
      <c r="P32" s="98">
        <f t="shared" si="9"/>
        <v>0</v>
      </c>
      <c r="Q32" s="98">
        <f t="shared" si="9"/>
        <v>0</v>
      </c>
      <c r="R32" s="98">
        <f t="shared" si="9"/>
        <v>0</v>
      </c>
      <c r="S32" s="98">
        <f t="shared" si="9"/>
        <v>0</v>
      </c>
      <c r="T32" s="98">
        <f t="shared" si="9"/>
        <v>0</v>
      </c>
      <c r="U32" s="98">
        <f t="shared" si="9"/>
        <v>0</v>
      </c>
      <c r="V32" s="98">
        <f t="shared" si="9"/>
        <v>0</v>
      </c>
      <c r="W32" s="98">
        <f t="shared" si="9"/>
        <v>0</v>
      </c>
      <c r="X32" s="98">
        <f t="shared" si="9"/>
        <v>0</v>
      </c>
      <c r="Y32" s="98">
        <f t="shared" si="9"/>
        <v>0</v>
      </c>
      <c r="Z32" s="86"/>
    </row>
    <row r="33" spans="1:26" x14ac:dyDescent="0.2">
      <c r="A33" s="1"/>
      <c r="B33" s="527" t="s">
        <v>113</v>
      </c>
      <c r="C33" s="528"/>
      <c r="D33" s="95"/>
      <c r="E33" s="96">
        <f>1/(1+Required_ROR)^'Vehicle &amp; Station Calculations'!E19</f>
        <v>1</v>
      </c>
      <c r="F33" s="96">
        <f>1/(1+Required_ROR)^'Vehicle &amp; Station Calculations'!F19</f>
        <v>0.94339622641509424</v>
      </c>
      <c r="G33" s="96">
        <f>1/(1+Required_ROR)^'Vehicle &amp; Station Calculations'!G19</f>
        <v>0.88999644001423983</v>
      </c>
      <c r="H33" s="96">
        <f>1/(1+Required_ROR)^'Vehicle &amp; Station Calculations'!H19</f>
        <v>0.8396192830323016</v>
      </c>
      <c r="I33" s="96">
        <f>1/(1+Required_ROR)^'Vehicle &amp; Station Calculations'!I19</f>
        <v>0.79209366323802044</v>
      </c>
      <c r="J33" s="96">
        <f>1/(1+Required_ROR)^'Vehicle &amp; Station Calculations'!J19</f>
        <v>0.74725817286605689</v>
      </c>
      <c r="K33" s="96">
        <f>1/(1+Required_ROR)^'Vehicle &amp; Station Calculations'!K19</f>
        <v>0.70496054043967626</v>
      </c>
      <c r="L33" s="96">
        <f>1/(1+Required_ROR)^'Vehicle &amp; Station Calculations'!L19</f>
        <v>0.66505711362233599</v>
      </c>
      <c r="M33" s="96">
        <f>1/(1+Required_ROR)^'Vehicle &amp; Station Calculations'!M19</f>
        <v>0.62741237134182648</v>
      </c>
      <c r="N33" s="96">
        <f>1/(1+Required_ROR)^'Vehicle &amp; Station Calculations'!N19</f>
        <v>0.59189846353002495</v>
      </c>
      <c r="O33" s="96">
        <f>1/(1+Required_ROR)^'Vehicle &amp; Station Calculations'!O19</f>
        <v>0.55839477691511785</v>
      </c>
      <c r="P33" s="96">
        <f>1/(1+Required_ROR)^'Vehicle &amp; Station Calculations'!P19</f>
        <v>0.52678752539162055</v>
      </c>
      <c r="Q33" s="96">
        <f>1/(1+Required_ROR)^'Vehicle &amp; Station Calculations'!Q19</f>
        <v>0.4969693635770005</v>
      </c>
      <c r="R33" s="96">
        <f>1/(1+Required_ROR)^'Vehicle &amp; Station Calculations'!R19</f>
        <v>0.46883902224245327</v>
      </c>
      <c r="S33" s="96">
        <f>1/(1+Required_ROR)^'Vehicle &amp; Station Calculations'!S19</f>
        <v>0.44230096437967292</v>
      </c>
      <c r="T33" s="96">
        <f>1/(1+Required_ROR)^'Vehicle &amp; Station Calculations'!T19</f>
        <v>0.41726506073554037</v>
      </c>
      <c r="U33" s="96">
        <f>1/(1+Required_ROR)^'Vehicle &amp; Station Calculations'!U19</f>
        <v>0.39364628371277405</v>
      </c>
      <c r="V33" s="96">
        <f>1/(1+Required_ROR)^'Vehicle &amp; Station Calculations'!V19</f>
        <v>0.37136441859695657</v>
      </c>
      <c r="W33" s="96">
        <f>1/(1+Required_ROR)^'Vehicle &amp; Station Calculations'!W19</f>
        <v>0.35034379112920433</v>
      </c>
      <c r="X33" s="96">
        <f>1/(1+Required_ROR)^'Vehicle &amp; Station Calculations'!X19</f>
        <v>0.3305130104992493</v>
      </c>
      <c r="Y33" s="96">
        <f>1/(1+Required_ROR)^'Vehicle &amp; Station Calculations'!Y19</f>
        <v>0.31180472688608429</v>
      </c>
      <c r="Z33" s="86"/>
    </row>
    <row r="34" spans="1:26" x14ac:dyDescent="0.2">
      <c r="A34" s="1"/>
      <c r="B34" s="525" t="s">
        <v>114</v>
      </c>
      <c r="C34" s="526"/>
      <c r="D34" s="97"/>
      <c r="E34" s="98">
        <f>E32*E33</f>
        <v>-0.38300000000000001</v>
      </c>
      <c r="F34" s="98">
        <f t="shared" ref="F34:Y34" si="10">F32*F33</f>
        <v>0</v>
      </c>
      <c r="G34" s="98">
        <f t="shared" si="10"/>
        <v>0</v>
      </c>
      <c r="H34" s="98">
        <f t="shared" si="10"/>
        <v>0</v>
      </c>
      <c r="I34" s="98">
        <f t="shared" si="10"/>
        <v>0</v>
      </c>
      <c r="J34" s="98">
        <f t="shared" si="10"/>
        <v>0</v>
      </c>
      <c r="K34" s="98">
        <f t="shared" si="10"/>
        <v>0</v>
      </c>
      <c r="L34" s="98">
        <f t="shared" si="10"/>
        <v>0</v>
      </c>
      <c r="M34" s="98">
        <f t="shared" si="10"/>
        <v>0</v>
      </c>
      <c r="N34" s="98">
        <f t="shared" si="10"/>
        <v>0</v>
      </c>
      <c r="O34" s="98">
        <f t="shared" si="10"/>
        <v>0</v>
      </c>
      <c r="P34" s="98">
        <f t="shared" si="10"/>
        <v>0</v>
      </c>
      <c r="Q34" s="98">
        <f t="shared" si="10"/>
        <v>0</v>
      </c>
      <c r="R34" s="98">
        <f t="shared" si="10"/>
        <v>0</v>
      </c>
      <c r="S34" s="98">
        <f t="shared" si="10"/>
        <v>0</v>
      </c>
      <c r="T34" s="98">
        <f t="shared" si="10"/>
        <v>0</v>
      </c>
      <c r="U34" s="98">
        <f t="shared" si="10"/>
        <v>0</v>
      </c>
      <c r="V34" s="98">
        <f t="shared" si="10"/>
        <v>0</v>
      </c>
      <c r="W34" s="98">
        <f t="shared" si="10"/>
        <v>0</v>
      </c>
      <c r="X34" s="98">
        <f t="shared" si="10"/>
        <v>0</v>
      </c>
      <c r="Y34" s="98">
        <f t="shared" si="10"/>
        <v>0</v>
      </c>
      <c r="Z34" s="86"/>
    </row>
    <row r="35" spans="1:26" x14ac:dyDescent="0.2">
      <c r="A35" s="1"/>
      <c r="B35" s="506" t="s">
        <v>115</v>
      </c>
      <c r="C35" s="507"/>
      <c r="D35" s="99"/>
      <c r="E35" s="102">
        <f>SUM(E34:Y34)</f>
        <v>-0.38300000000000001</v>
      </c>
      <c r="F35" s="95"/>
      <c r="G35" s="95"/>
      <c r="H35" s="95"/>
      <c r="I35" s="95"/>
      <c r="J35" s="95"/>
      <c r="K35" s="95"/>
      <c r="L35" s="95"/>
      <c r="M35" s="95"/>
      <c r="N35" s="95"/>
      <c r="O35" s="95"/>
      <c r="P35" s="95"/>
      <c r="Q35" s="95"/>
      <c r="R35" s="95"/>
      <c r="S35" s="95"/>
      <c r="T35" s="95"/>
      <c r="U35" s="95"/>
      <c r="V35" s="95"/>
      <c r="W35" s="95"/>
      <c r="X35" s="95"/>
      <c r="Y35" s="95"/>
      <c r="Z35" s="86"/>
    </row>
    <row r="37" spans="1:26" x14ac:dyDescent="0.2">
      <c r="A37" s="509" t="s">
        <v>116</v>
      </c>
      <c r="B37" s="509"/>
      <c r="C37" s="509"/>
      <c r="D37" s="509"/>
      <c r="E37" s="55">
        <f>E34</f>
        <v>-0.38300000000000001</v>
      </c>
      <c r="F37" s="55">
        <f>E37+F34</f>
        <v>-0.38300000000000001</v>
      </c>
      <c r="G37" s="55">
        <f t="shared" ref="G37:Y37" si="11">F37+G34</f>
        <v>-0.38300000000000001</v>
      </c>
      <c r="H37" s="55">
        <f t="shared" si="11"/>
        <v>-0.38300000000000001</v>
      </c>
      <c r="I37" s="55">
        <f t="shared" si="11"/>
        <v>-0.38300000000000001</v>
      </c>
      <c r="J37" s="55">
        <f t="shared" si="11"/>
        <v>-0.38300000000000001</v>
      </c>
      <c r="K37" s="55">
        <f t="shared" si="11"/>
        <v>-0.38300000000000001</v>
      </c>
      <c r="L37" s="55">
        <f t="shared" si="11"/>
        <v>-0.38300000000000001</v>
      </c>
      <c r="M37" s="55">
        <f t="shared" si="11"/>
        <v>-0.38300000000000001</v>
      </c>
      <c r="N37" s="55">
        <f t="shared" si="11"/>
        <v>-0.38300000000000001</v>
      </c>
      <c r="O37" s="55">
        <f t="shared" si="11"/>
        <v>-0.38300000000000001</v>
      </c>
      <c r="P37" s="55">
        <f t="shared" si="11"/>
        <v>-0.38300000000000001</v>
      </c>
      <c r="Q37" s="55">
        <f t="shared" si="11"/>
        <v>-0.38300000000000001</v>
      </c>
      <c r="R37" s="55">
        <f t="shared" si="11"/>
        <v>-0.38300000000000001</v>
      </c>
      <c r="S37" s="55">
        <f t="shared" si="11"/>
        <v>-0.38300000000000001</v>
      </c>
      <c r="T37" s="55">
        <f t="shared" si="11"/>
        <v>-0.38300000000000001</v>
      </c>
      <c r="U37" s="55">
        <f t="shared" si="11"/>
        <v>-0.38300000000000001</v>
      </c>
      <c r="V37" s="55">
        <f t="shared" si="11"/>
        <v>-0.38300000000000001</v>
      </c>
      <c r="W37" s="55">
        <f t="shared" si="11"/>
        <v>-0.38300000000000001</v>
      </c>
      <c r="X37" s="55">
        <f t="shared" si="11"/>
        <v>-0.38300000000000001</v>
      </c>
      <c r="Y37" s="55">
        <f t="shared" si="11"/>
        <v>-0.38300000000000001</v>
      </c>
    </row>
    <row r="38" spans="1:26" x14ac:dyDescent="0.2">
      <c r="A38" s="1"/>
      <c r="B38" s="522" t="s">
        <v>117</v>
      </c>
      <c r="C38" s="522"/>
      <c r="D38" s="522"/>
      <c r="E38" s="1">
        <f>IF(OR(E$5=0,E37&gt;-0.001),0,(IF(E$5=6,0.5,1)))</f>
        <v>0</v>
      </c>
      <c r="F38" s="1">
        <f t="shared" ref="F38:Y38" si="12">IF(OR(F$5=0,F37&gt;-0.001),0,(IF(F$5=6,0.5,1)))</f>
        <v>0</v>
      </c>
      <c r="G38" s="1">
        <f t="shared" si="12"/>
        <v>0</v>
      </c>
      <c r="H38" s="1">
        <f t="shared" si="12"/>
        <v>0</v>
      </c>
      <c r="I38" s="1">
        <f t="shared" si="12"/>
        <v>0</v>
      </c>
      <c r="J38" s="1">
        <f t="shared" si="12"/>
        <v>0</v>
      </c>
      <c r="K38" s="1">
        <f t="shared" si="12"/>
        <v>0</v>
      </c>
      <c r="L38" s="1">
        <f t="shared" si="12"/>
        <v>0</v>
      </c>
      <c r="M38" s="1">
        <f t="shared" si="12"/>
        <v>0</v>
      </c>
      <c r="N38" s="1">
        <f t="shared" si="12"/>
        <v>0</v>
      </c>
      <c r="O38" s="1">
        <f t="shared" si="12"/>
        <v>0</v>
      </c>
      <c r="P38" s="1">
        <f t="shared" si="12"/>
        <v>0</v>
      </c>
      <c r="Q38" s="1">
        <f t="shared" si="12"/>
        <v>0</v>
      </c>
      <c r="R38" s="1">
        <f t="shared" si="12"/>
        <v>0</v>
      </c>
      <c r="S38" s="1">
        <f t="shared" si="12"/>
        <v>0</v>
      </c>
      <c r="T38" s="1">
        <f t="shared" si="12"/>
        <v>0</v>
      </c>
      <c r="U38" s="1">
        <f t="shared" si="12"/>
        <v>0</v>
      </c>
      <c r="V38" s="1">
        <f t="shared" si="12"/>
        <v>0</v>
      </c>
      <c r="W38" s="1">
        <f t="shared" si="12"/>
        <v>0</v>
      </c>
      <c r="X38" s="1">
        <f t="shared" si="12"/>
        <v>0</v>
      </c>
      <c r="Y38" s="1">
        <f t="shared" si="12"/>
        <v>0</v>
      </c>
    </row>
    <row r="39" spans="1:26" x14ac:dyDescent="0.2">
      <c r="A39" s="1"/>
      <c r="B39" s="508" t="s">
        <v>118</v>
      </c>
      <c r="C39" s="508"/>
      <c r="D39" s="508"/>
      <c r="E39" s="54"/>
      <c r="F39" s="56">
        <f>IF(AND(E38=0.5,F38=0),((-E37/(F37-E37)*(F$5/12))),0)</f>
        <v>0</v>
      </c>
      <c r="G39" s="56">
        <f>IF(AND(F38=1,G38=0),((-F37/(G37-F37)*(G$5/12))),0)</f>
        <v>0</v>
      </c>
      <c r="H39" s="56">
        <f t="shared" ref="H39:Y39" si="13">IF(AND(G38=1,H38=0),((-G37/(H37-G37)*(H$5/12))),0)</f>
        <v>0</v>
      </c>
      <c r="I39" s="56">
        <f t="shared" si="13"/>
        <v>0</v>
      </c>
      <c r="J39" s="56">
        <f t="shared" si="13"/>
        <v>0</v>
      </c>
      <c r="K39" s="56">
        <f t="shared" si="13"/>
        <v>0</v>
      </c>
      <c r="L39" s="56">
        <f t="shared" si="13"/>
        <v>0</v>
      </c>
      <c r="M39" s="56">
        <f t="shared" si="13"/>
        <v>0</v>
      </c>
      <c r="N39" s="56">
        <f t="shared" si="13"/>
        <v>0</v>
      </c>
      <c r="O39" s="56">
        <f t="shared" si="13"/>
        <v>0</v>
      </c>
      <c r="P39" s="56">
        <f t="shared" si="13"/>
        <v>0</v>
      </c>
      <c r="Q39" s="56">
        <f t="shared" si="13"/>
        <v>0</v>
      </c>
      <c r="R39" s="56">
        <f t="shared" si="13"/>
        <v>0</v>
      </c>
      <c r="S39" s="56">
        <f t="shared" si="13"/>
        <v>0</v>
      </c>
      <c r="T39" s="56">
        <f t="shared" si="13"/>
        <v>0</v>
      </c>
      <c r="U39" s="56">
        <f t="shared" si="13"/>
        <v>0</v>
      </c>
      <c r="V39" s="56">
        <f t="shared" si="13"/>
        <v>0</v>
      </c>
      <c r="W39" s="56">
        <f t="shared" si="13"/>
        <v>0</v>
      </c>
      <c r="X39" s="56">
        <f t="shared" si="13"/>
        <v>0</v>
      </c>
      <c r="Y39" s="56">
        <f t="shared" si="13"/>
        <v>0</v>
      </c>
    </row>
    <row r="41" spans="1:26" x14ac:dyDescent="0.2">
      <c r="A41" s="511" t="s">
        <v>119</v>
      </c>
      <c r="B41" s="512"/>
      <c r="C41" s="513"/>
      <c r="D41" s="57">
        <f>SUM(E38:Y39)</f>
        <v>0</v>
      </c>
    </row>
    <row r="43" spans="1:26" x14ac:dyDescent="0.2">
      <c r="A43" s="500" t="s">
        <v>120</v>
      </c>
      <c r="B43" s="500"/>
      <c r="C43" s="500"/>
      <c r="D43" s="500"/>
      <c r="E43" s="40"/>
      <c r="F43" s="40"/>
      <c r="G43" s="40"/>
      <c r="H43" s="40"/>
      <c r="I43" s="40"/>
      <c r="J43" s="40"/>
      <c r="K43" s="40"/>
      <c r="L43" s="65"/>
      <c r="M43" s="40"/>
      <c r="N43" s="40"/>
      <c r="O43" s="40"/>
      <c r="P43" s="40"/>
      <c r="Q43" s="40"/>
      <c r="R43" s="40"/>
      <c r="S43" s="40"/>
      <c r="T43" s="40"/>
      <c r="U43" s="40"/>
      <c r="V43" s="40"/>
      <c r="W43" s="40"/>
      <c r="X43" s="40"/>
      <c r="Y43" s="40"/>
    </row>
    <row r="44" spans="1:26" x14ac:dyDescent="0.2">
      <c r="A44" s="1"/>
      <c r="B44" s="510" t="s">
        <v>121</v>
      </c>
      <c r="C44" s="502"/>
      <c r="D44" s="503"/>
      <c r="E44" s="63">
        <f>E25/E19</f>
        <v>0</v>
      </c>
      <c r="F44" s="63">
        <f t="shared" ref="F44:Y44" si="14">F25/F19</f>
        <v>0</v>
      </c>
      <c r="G44" s="63">
        <f t="shared" si="14"/>
        <v>0</v>
      </c>
      <c r="H44" s="63">
        <f t="shared" si="14"/>
        <v>0</v>
      </c>
      <c r="I44" s="63">
        <f t="shared" si="14"/>
        <v>0</v>
      </c>
      <c r="J44" s="63">
        <f t="shared" si="14"/>
        <v>0</v>
      </c>
      <c r="K44" s="62">
        <f t="shared" si="14"/>
        <v>0</v>
      </c>
      <c r="L44" s="62">
        <f t="shared" si="14"/>
        <v>0</v>
      </c>
      <c r="M44" s="62">
        <f t="shared" si="14"/>
        <v>0</v>
      </c>
      <c r="N44" s="63">
        <f t="shared" si="14"/>
        <v>0</v>
      </c>
      <c r="O44" s="63">
        <f t="shared" si="14"/>
        <v>0</v>
      </c>
      <c r="P44" s="63">
        <f t="shared" si="14"/>
        <v>0</v>
      </c>
      <c r="Q44" s="63">
        <f t="shared" si="14"/>
        <v>0</v>
      </c>
      <c r="R44" s="63">
        <f t="shared" si="14"/>
        <v>0</v>
      </c>
      <c r="S44" s="63">
        <f t="shared" si="14"/>
        <v>0</v>
      </c>
      <c r="T44" s="63">
        <f t="shared" si="14"/>
        <v>0</v>
      </c>
      <c r="U44" s="63">
        <f t="shared" si="14"/>
        <v>0</v>
      </c>
      <c r="V44" s="63">
        <f t="shared" si="14"/>
        <v>0</v>
      </c>
      <c r="W44" s="63">
        <f t="shared" si="14"/>
        <v>0</v>
      </c>
      <c r="X44" s="63">
        <f t="shared" si="14"/>
        <v>0</v>
      </c>
      <c r="Y44" s="63">
        <f t="shared" si="14"/>
        <v>0</v>
      </c>
    </row>
    <row r="45" spans="1:26" x14ac:dyDescent="0.2">
      <c r="A45" s="1"/>
      <c r="B45" s="321" t="s">
        <v>122</v>
      </c>
      <c r="C45" s="321"/>
      <c r="D45" s="321"/>
      <c r="E45" s="64">
        <f>E27/E21</f>
        <v>0</v>
      </c>
      <c r="F45" s="64">
        <f t="shared" ref="F45:Y45" si="15">F27/F21</f>
        <v>0</v>
      </c>
      <c r="G45" s="64">
        <f t="shared" si="15"/>
        <v>0</v>
      </c>
      <c r="H45" s="64">
        <f t="shared" si="15"/>
        <v>0</v>
      </c>
      <c r="I45" s="64">
        <f t="shared" si="15"/>
        <v>0</v>
      </c>
      <c r="J45" s="64">
        <f t="shared" si="15"/>
        <v>0</v>
      </c>
      <c r="K45" s="64">
        <f t="shared" si="15"/>
        <v>0</v>
      </c>
      <c r="L45" s="64">
        <f t="shared" si="15"/>
        <v>0</v>
      </c>
      <c r="M45" s="64">
        <f t="shared" si="15"/>
        <v>0</v>
      </c>
      <c r="N45" s="64">
        <f t="shared" si="15"/>
        <v>0</v>
      </c>
      <c r="O45" s="64">
        <f t="shared" si="15"/>
        <v>0</v>
      </c>
      <c r="P45" s="64">
        <f t="shared" si="15"/>
        <v>0</v>
      </c>
      <c r="Q45" s="64">
        <f t="shared" si="15"/>
        <v>0</v>
      </c>
      <c r="R45" s="64">
        <f t="shared" si="15"/>
        <v>0</v>
      </c>
      <c r="S45" s="64">
        <f t="shared" si="15"/>
        <v>0</v>
      </c>
      <c r="T45" s="64">
        <f t="shared" si="15"/>
        <v>0</v>
      </c>
      <c r="U45" s="64">
        <f t="shared" si="15"/>
        <v>0</v>
      </c>
      <c r="V45" s="64">
        <f t="shared" si="15"/>
        <v>0</v>
      </c>
      <c r="W45" s="64">
        <f t="shared" si="15"/>
        <v>0</v>
      </c>
      <c r="X45" s="64">
        <f t="shared" si="15"/>
        <v>0</v>
      </c>
      <c r="Y45" s="64">
        <f t="shared" si="15"/>
        <v>0</v>
      </c>
    </row>
    <row r="46" spans="1:26" x14ac:dyDescent="0.2">
      <c r="A46" s="1"/>
      <c r="B46" s="505" t="s">
        <v>123</v>
      </c>
      <c r="C46" s="505"/>
      <c r="D46" s="505"/>
      <c r="E46" s="63">
        <f t="shared" ref="E46:Y46" si="16">(E44/GGE_DGE_Conv)+E45</f>
        <v>0</v>
      </c>
      <c r="F46" s="63">
        <f t="shared" si="16"/>
        <v>0</v>
      </c>
      <c r="G46" s="63">
        <f t="shared" si="16"/>
        <v>0</v>
      </c>
      <c r="H46" s="63">
        <f t="shared" si="16"/>
        <v>0</v>
      </c>
      <c r="I46" s="63">
        <f t="shared" si="16"/>
        <v>0</v>
      </c>
      <c r="J46" s="63">
        <f t="shared" si="16"/>
        <v>0</v>
      </c>
      <c r="K46" s="63">
        <f t="shared" si="16"/>
        <v>0</v>
      </c>
      <c r="L46" s="63">
        <f t="shared" si="16"/>
        <v>0</v>
      </c>
      <c r="M46" s="63">
        <f t="shared" si="16"/>
        <v>0</v>
      </c>
      <c r="N46" s="63">
        <f t="shared" si="16"/>
        <v>0</v>
      </c>
      <c r="O46" s="63">
        <f t="shared" si="16"/>
        <v>0</v>
      </c>
      <c r="P46" s="63">
        <f t="shared" si="16"/>
        <v>0</v>
      </c>
      <c r="Q46" s="63">
        <f t="shared" si="16"/>
        <v>0</v>
      </c>
      <c r="R46" s="63">
        <f t="shared" si="16"/>
        <v>0</v>
      </c>
      <c r="S46" s="63">
        <f t="shared" si="16"/>
        <v>0</v>
      </c>
      <c r="T46" s="63">
        <f t="shared" si="16"/>
        <v>0</v>
      </c>
      <c r="U46" s="63">
        <f t="shared" si="16"/>
        <v>0</v>
      </c>
      <c r="V46" s="63">
        <f t="shared" si="16"/>
        <v>0</v>
      </c>
      <c r="W46" s="63">
        <f t="shared" si="16"/>
        <v>0</v>
      </c>
      <c r="X46" s="63">
        <f t="shared" si="16"/>
        <v>0</v>
      </c>
      <c r="Y46" s="63">
        <f t="shared" si="16"/>
        <v>0</v>
      </c>
    </row>
    <row r="47" spans="1:26" x14ac:dyDescent="0.2">
      <c r="A47" s="1"/>
      <c r="B47" s="467" t="s">
        <v>125</v>
      </c>
      <c r="C47" s="468"/>
      <c r="D47" s="469"/>
    </row>
    <row r="48" spans="1:26" x14ac:dyDescent="0.2">
      <c r="A48" s="1"/>
      <c r="B48" s="505" t="s">
        <v>124</v>
      </c>
      <c r="C48" s="505"/>
      <c r="D48" s="505"/>
      <c r="E48" s="63">
        <f>E44/GGE_DGE_Conv</f>
        <v>0</v>
      </c>
      <c r="F48" s="62">
        <f t="shared" ref="F48:Y48" si="17">E48+(F44/GGE_DGE_Conv)</f>
        <v>0</v>
      </c>
      <c r="G48" s="62">
        <f t="shared" si="17"/>
        <v>0</v>
      </c>
      <c r="H48" s="62">
        <f t="shared" si="17"/>
        <v>0</v>
      </c>
      <c r="I48" s="62">
        <f t="shared" si="17"/>
        <v>0</v>
      </c>
      <c r="J48" s="62">
        <f t="shared" si="17"/>
        <v>0</v>
      </c>
      <c r="K48" s="62">
        <f t="shared" si="17"/>
        <v>0</v>
      </c>
      <c r="L48" s="62">
        <f t="shared" si="17"/>
        <v>0</v>
      </c>
      <c r="M48" s="62">
        <f t="shared" si="17"/>
        <v>0</v>
      </c>
      <c r="N48" s="62">
        <f t="shared" si="17"/>
        <v>0</v>
      </c>
      <c r="O48" s="62">
        <f t="shared" si="17"/>
        <v>0</v>
      </c>
      <c r="P48" s="62">
        <f t="shared" si="17"/>
        <v>0</v>
      </c>
      <c r="Q48" s="62">
        <f t="shared" si="17"/>
        <v>0</v>
      </c>
      <c r="R48" s="62">
        <f t="shared" si="17"/>
        <v>0</v>
      </c>
      <c r="S48" s="62">
        <f t="shared" si="17"/>
        <v>0</v>
      </c>
      <c r="T48" s="62">
        <f t="shared" si="17"/>
        <v>0</v>
      </c>
      <c r="U48" s="62">
        <f t="shared" si="17"/>
        <v>0</v>
      </c>
      <c r="V48" s="62">
        <f t="shared" si="17"/>
        <v>0</v>
      </c>
      <c r="W48" s="62">
        <f t="shared" si="17"/>
        <v>0</v>
      </c>
      <c r="X48" s="62">
        <f t="shared" si="17"/>
        <v>0</v>
      </c>
      <c r="Y48" s="62">
        <f t="shared" si="17"/>
        <v>0</v>
      </c>
    </row>
    <row r="49" spans="1:26" x14ac:dyDescent="0.2">
      <c r="A49" s="1"/>
      <c r="B49" s="321" t="s">
        <v>122</v>
      </c>
      <c r="C49" s="321"/>
      <c r="D49" s="321"/>
      <c r="E49" s="64">
        <f>E45</f>
        <v>0</v>
      </c>
      <c r="F49" s="61">
        <f>E49+F45</f>
        <v>0</v>
      </c>
      <c r="G49" s="61">
        <f t="shared" ref="G49:Y49" si="18">F49+G45</f>
        <v>0</v>
      </c>
      <c r="H49" s="61">
        <f t="shared" si="18"/>
        <v>0</v>
      </c>
      <c r="I49" s="61">
        <f t="shared" si="18"/>
        <v>0</v>
      </c>
      <c r="J49" s="61">
        <f t="shared" si="18"/>
        <v>0</v>
      </c>
      <c r="K49" s="61">
        <f t="shared" si="18"/>
        <v>0</v>
      </c>
      <c r="L49" s="61">
        <f t="shared" si="18"/>
        <v>0</v>
      </c>
      <c r="M49" s="61">
        <f t="shared" si="18"/>
        <v>0</v>
      </c>
      <c r="N49" s="61">
        <f t="shared" si="18"/>
        <v>0</v>
      </c>
      <c r="O49" s="61">
        <f t="shared" si="18"/>
        <v>0</v>
      </c>
      <c r="P49" s="61">
        <f t="shared" si="18"/>
        <v>0</v>
      </c>
      <c r="Q49" s="61">
        <f t="shared" si="18"/>
        <v>0</v>
      </c>
      <c r="R49" s="61">
        <f t="shared" si="18"/>
        <v>0</v>
      </c>
      <c r="S49" s="61">
        <f t="shared" si="18"/>
        <v>0</v>
      </c>
      <c r="T49" s="61">
        <f t="shared" si="18"/>
        <v>0</v>
      </c>
      <c r="U49" s="61">
        <f t="shared" si="18"/>
        <v>0</v>
      </c>
      <c r="V49" s="61">
        <f t="shared" si="18"/>
        <v>0</v>
      </c>
      <c r="W49" s="61">
        <f t="shared" si="18"/>
        <v>0</v>
      </c>
      <c r="X49" s="61">
        <f t="shared" si="18"/>
        <v>0</v>
      </c>
      <c r="Y49" s="61">
        <f t="shared" si="18"/>
        <v>0</v>
      </c>
    </row>
    <row r="50" spans="1:26" x14ac:dyDescent="0.2">
      <c r="A50" s="1"/>
      <c r="B50" s="505" t="s">
        <v>123</v>
      </c>
      <c r="C50" s="505"/>
      <c r="D50" s="505"/>
      <c r="E50" s="63">
        <f>SUM(E48:E49)</f>
        <v>0</v>
      </c>
      <c r="F50" s="63">
        <f t="shared" ref="F50:Y50" si="19">SUM(F48:F49)</f>
        <v>0</v>
      </c>
      <c r="G50" s="63">
        <f t="shared" si="19"/>
        <v>0</v>
      </c>
      <c r="H50" s="63">
        <f t="shared" si="19"/>
        <v>0</v>
      </c>
      <c r="I50" s="63">
        <f t="shared" si="19"/>
        <v>0</v>
      </c>
      <c r="J50" s="63">
        <f t="shared" si="19"/>
        <v>0</v>
      </c>
      <c r="K50" s="63">
        <f t="shared" si="19"/>
        <v>0</v>
      </c>
      <c r="L50" s="63">
        <f t="shared" si="19"/>
        <v>0</v>
      </c>
      <c r="M50" s="63">
        <f t="shared" si="19"/>
        <v>0</v>
      </c>
      <c r="N50" s="63">
        <f t="shared" si="19"/>
        <v>0</v>
      </c>
      <c r="O50" s="63">
        <f t="shared" si="19"/>
        <v>0</v>
      </c>
      <c r="P50" s="63">
        <f t="shared" si="19"/>
        <v>0</v>
      </c>
      <c r="Q50" s="63">
        <f t="shared" si="19"/>
        <v>0</v>
      </c>
      <c r="R50" s="63">
        <f t="shared" si="19"/>
        <v>0</v>
      </c>
      <c r="S50" s="63">
        <f t="shared" si="19"/>
        <v>0</v>
      </c>
      <c r="T50" s="63">
        <f t="shared" si="19"/>
        <v>0</v>
      </c>
      <c r="U50" s="63">
        <f t="shared" si="19"/>
        <v>0</v>
      </c>
      <c r="V50" s="63">
        <f t="shared" si="19"/>
        <v>0</v>
      </c>
      <c r="W50" s="63">
        <f t="shared" si="19"/>
        <v>0</v>
      </c>
      <c r="X50" s="63">
        <f t="shared" si="19"/>
        <v>0</v>
      </c>
      <c r="Y50" s="63">
        <f t="shared" si="19"/>
        <v>0</v>
      </c>
    </row>
    <row r="52" spans="1:26" x14ac:dyDescent="0.2">
      <c r="A52" s="499" t="s">
        <v>167</v>
      </c>
      <c r="B52" s="500"/>
      <c r="C52" s="500"/>
      <c r="D52" s="500"/>
      <c r="E52" s="40"/>
      <c r="F52" s="40"/>
      <c r="G52" s="40"/>
      <c r="H52" s="40"/>
      <c r="I52" s="40"/>
      <c r="J52" s="40"/>
      <c r="K52" s="40"/>
      <c r="L52" s="65"/>
      <c r="M52" s="40"/>
      <c r="N52" s="40"/>
      <c r="O52" s="40"/>
      <c r="P52" s="40"/>
      <c r="Q52" s="40"/>
      <c r="R52" s="40"/>
      <c r="S52" s="40"/>
      <c r="T52" s="40"/>
      <c r="U52" s="40"/>
      <c r="V52" s="40"/>
      <c r="W52" s="40"/>
      <c r="X52" s="40"/>
      <c r="Y52" s="40"/>
    </row>
    <row r="53" spans="1:26" x14ac:dyDescent="0.2">
      <c r="A53" s="1"/>
      <c r="B53" s="501" t="s">
        <v>168</v>
      </c>
      <c r="C53" s="502"/>
      <c r="D53" s="503"/>
      <c r="E53" s="63">
        <f t="shared" ref="E53:Y53" si="20">E44*Diesel_GHG</f>
        <v>0</v>
      </c>
      <c r="F53" s="63">
        <f t="shared" si="20"/>
        <v>0</v>
      </c>
      <c r="G53" s="63">
        <f t="shared" si="20"/>
        <v>0</v>
      </c>
      <c r="H53" s="63">
        <f t="shared" si="20"/>
        <v>0</v>
      </c>
      <c r="I53" s="63">
        <f t="shared" si="20"/>
        <v>0</v>
      </c>
      <c r="J53" s="63">
        <f t="shared" si="20"/>
        <v>0</v>
      </c>
      <c r="K53" s="63">
        <f t="shared" si="20"/>
        <v>0</v>
      </c>
      <c r="L53" s="63">
        <f t="shared" si="20"/>
        <v>0</v>
      </c>
      <c r="M53" s="63">
        <f t="shared" si="20"/>
        <v>0</v>
      </c>
      <c r="N53" s="63">
        <f t="shared" si="20"/>
        <v>0</v>
      </c>
      <c r="O53" s="63">
        <f t="shared" si="20"/>
        <v>0</v>
      </c>
      <c r="P53" s="63">
        <f t="shared" si="20"/>
        <v>0</v>
      </c>
      <c r="Q53" s="63">
        <f t="shared" si="20"/>
        <v>0</v>
      </c>
      <c r="R53" s="63">
        <f t="shared" si="20"/>
        <v>0</v>
      </c>
      <c r="S53" s="63">
        <f t="shared" si="20"/>
        <v>0</v>
      </c>
      <c r="T53" s="63">
        <f t="shared" si="20"/>
        <v>0</v>
      </c>
      <c r="U53" s="63">
        <f t="shared" si="20"/>
        <v>0</v>
      </c>
      <c r="V53" s="63">
        <f t="shared" si="20"/>
        <v>0</v>
      </c>
      <c r="W53" s="63">
        <f t="shared" si="20"/>
        <v>0</v>
      </c>
      <c r="X53" s="63">
        <f t="shared" si="20"/>
        <v>0</v>
      </c>
      <c r="Y53" s="63">
        <f t="shared" si="20"/>
        <v>0</v>
      </c>
    </row>
    <row r="54" spans="1:26" x14ac:dyDescent="0.2">
      <c r="A54" s="1"/>
      <c r="B54" s="322" t="s">
        <v>169</v>
      </c>
      <c r="C54" s="321"/>
      <c r="D54" s="321"/>
      <c r="E54" s="64">
        <f t="shared" ref="E54:Y54" si="21">E45*Gasoline_GHG</f>
        <v>0</v>
      </c>
      <c r="F54" s="64">
        <f t="shared" si="21"/>
        <v>0</v>
      </c>
      <c r="G54" s="64">
        <f t="shared" si="21"/>
        <v>0</v>
      </c>
      <c r="H54" s="64">
        <f t="shared" si="21"/>
        <v>0</v>
      </c>
      <c r="I54" s="64">
        <f t="shared" si="21"/>
        <v>0</v>
      </c>
      <c r="J54" s="64">
        <f t="shared" si="21"/>
        <v>0</v>
      </c>
      <c r="K54" s="64">
        <f t="shared" si="21"/>
        <v>0</v>
      </c>
      <c r="L54" s="64">
        <f t="shared" si="21"/>
        <v>0</v>
      </c>
      <c r="M54" s="64">
        <f t="shared" si="21"/>
        <v>0</v>
      </c>
      <c r="N54" s="64">
        <f t="shared" si="21"/>
        <v>0</v>
      </c>
      <c r="O54" s="64">
        <f t="shared" si="21"/>
        <v>0</v>
      </c>
      <c r="P54" s="64">
        <f t="shared" si="21"/>
        <v>0</v>
      </c>
      <c r="Q54" s="64">
        <f t="shared" si="21"/>
        <v>0</v>
      </c>
      <c r="R54" s="64">
        <f t="shared" si="21"/>
        <v>0</v>
      </c>
      <c r="S54" s="64">
        <f t="shared" si="21"/>
        <v>0</v>
      </c>
      <c r="T54" s="64">
        <f t="shared" si="21"/>
        <v>0</v>
      </c>
      <c r="U54" s="64">
        <f t="shared" si="21"/>
        <v>0</v>
      </c>
      <c r="V54" s="64">
        <f t="shared" si="21"/>
        <v>0</v>
      </c>
      <c r="W54" s="64">
        <f t="shared" si="21"/>
        <v>0</v>
      </c>
      <c r="X54" s="64">
        <f t="shared" si="21"/>
        <v>0</v>
      </c>
      <c r="Y54" s="64">
        <f t="shared" si="21"/>
        <v>0</v>
      </c>
    </row>
    <row r="55" spans="1:26" x14ac:dyDescent="0.2">
      <c r="A55" s="1"/>
      <c r="B55" s="504" t="s">
        <v>170</v>
      </c>
      <c r="C55" s="505"/>
      <c r="D55" s="505"/>
      <c r="E55" s="63">
        <f>'Vehicle &amp; Station Calculations'!E59*CNG_GHG</f>
        <v>0</v>
      </c>
      <c r="F55" s="63">
        <f>'Vehicle &amp; Station Calculations'!F59*CNG_GHG</f>
        <v>0</v>
      </c>
      <c r="G55" s="63">
        <f>'Vehicle &amp; Station Calculations'!G59*CNG_GHG</f>
        <v>0</v>
      </c>
      <c r="H55" s="63">
        <f>'Vehicle &amp; Station Calculations'!H59*CNG_GHG</f>
        <v>0</v>
      </c>
      <c r="I55" s="63">
        <f>'Vehicle &amp; Station Calculations'!I59*CNG_GHG</f>
        <v>0</v>
      </c>
      <c r="J55" s="63">
        <f>'Vehicle &amp; Station Calculations'!J59*CNG_GHG</f>
        <v>0</v>
      </c>
      <c r="K55" s="63">
        <f>'Vehicle &amp; Station Calculations'!K59*CNG_GHG</f>
        <v>0</v>
      </c>
      <c r="L55" s="63">
        <f>'Vehicle &amp; Station Calculations'!L59*CNG_GHG</f>
        <v>0</v>
      </c>
      <c r="M55" s="63">
        <f>'Vehicle &amp; Station Calculations'!M59*CNG_GHG</f>
        <v>0</v>
      </c>
      <c r="N55" s="63">
        <f>'Vehicle &amp; Station Calculations'!N59*CNG_GHG</f>
        <v>0</v>
      </c>
      <c r="O55" s="63">
        <f>'Vehicle &amp; Station Calculations'!O59*CNG_GHG</f>
        <v>0</v>
      </c>
      <c r="P55" s="63">
        <f>'Vehicle &amp; Station Calculations'!P59*CNG_GHG</f>
        <v>0</v>
      </c>
      <c r="Q55" s="63">
        <f>'Vehicle &amp; Station Calculations'!Q59*CNG_GHG</f>
        <v>0</v>
      </c>
      <c r="R55" s="63">
        <f>'Vehicle &amp; Station Calculations'!R59*CNG_GHG</f>
        <v>0</v>
      </c>
      <c r="S55" s="63">
        <f>'Vehicle &amp; Station Calculations'!S59*CNG_GHG</f>
        <v>0</v>
      </c>
      <c r="T55" s="63">
        <f>'Vehicle &amp; Station Calculations'!T59*CNG_GHG</f>
        <v>0</v>
      </c>
      <c r="U55" s="63">
        <f>'Vehicle &amp; Station Calculations'!U59*CNG_GHG</f>
        <v>0</v>
      </c>
      <c r="V55" s="63">
        <f>'Vehicle &amp; Station Calculations'!V59*CNG_GHG</f>
        <v>0</v>
      </c>
      <c r="W55" s="63">
        <f>'Vehicle &amp; Station Calculations'!W59*CNG_GHG</f>
        <v>0</v>
      </c>
      <c r="X55" s="63">
        <f>'Vehicle &amp; Station Calculations'!X59*CNG_GHG</f>
        <v>0</v>
      </c>
      <c r="Y55" s="63">
        <f>'Vehicle &amp; Station Calculations'!Y59*CNG_GHG</f>
        <v>0</v>
      </c>
    </row>
    <row r="56" spans="1:26" ht="28.5" customHeight="1" x14ac:dyDescent="0.2">
      <c r="C56" s="337" t="s">
        <v>192</v>
      </c>
      <c r="D56" s="497"/>
      <c r="E56" s="89">
        <f>((E53+E54)-E55)/2000</f>
        <v>0</v>
      </c>
      <c r="F56" s="89">
        <f t="shared" ref="F56:Y56" si="22">((F53+F54)-F55)/2000</f>
        <v>0</v>
      </c>
      <c r="G56" s="89">
        <f t="shared" si="22"/>
        <v>0</v>
      </c>
      <c r="H56" s="89">
        <f t="shared" si="22"/>
        <v>0</v>
      </c>
      <c r="I56" s="89">
        <f t="shared" si="22"/>
        <v>0</v>
      </c>
      <c r="J56" s="89">
        <f t="shared" si="22"/>
        <v>0</v>
      </c>
      <c r="K56" s="89">
        <f t="shared" si="22"/>
        <v>0</v>
      </c>
      <c r="L56" s="89">
        <f t="shared" si="22"/>
        <v>0</v>
      </c>
      <c r="M56" s="89">
        <f t="shared" si="22"/>
        <v>0</v>
      </c>
      <c r="N56" s="89">
        <f t="shared" si="22"/>
        <v>0</v>
      </c>
      <c r="O56" s="89">
        <f t="shared" si="22"/>
        <v>0</v>
      </c>
      <c r="P56" s="89">
        <f t="shared" si="22"/>
        <v>0</v>
      </c>
      <c r="Q56" s="89">
        <f t="shared" si="22"/>
        <v>0</v>
      </c>
      <c r="R56" s="89">
        <f t="shared" si="22"/>
        <v>0</v>
      </c>
      <c r="S56" s="89">
        <f t="shared" si="22"/>
        <v>0</v>
      </c>
      <c r="T56" s="89">
        <f t="shared" si="22"/>
        <v>0</v>
      </c>
      <c r="U56" s="89">
        <f t="shared" si="22"/>
        <v>0</v>
      </c>
      <c r="V56" s="89">
        <f t="shared" si="22"/>
        <v>0</v>
      </c>
      <c r="W56" s="89">
        <f t="shared" si="22"/>
        <v>0</v>
      </c>
      <c r="X56" s="89">
        <f t="shared" si="22"/>
        <v>0</v>
      </c>
      <c r="Y56" s="89">
        <f t="shared" si="22"/>
        <v>0</v>
      </c>
      <c r="Z56" s="139"/>
    </row>
    <row r="57" spans="1:26" ht="28.5" customHeight="1" x14ac:dyDescent="0.2">
      <c r="C57" s="498" t="s">
        <v>277</v>
      </c>
      <c r="D57" s="498"/>
      <c r="E57" s="131">
        <f>E56</f>
        <v>0</v>
      </c>
      <c r="F57" s="131">
        <f>F56+E57</f>
        <v>0</v>
      </c>
      <c r="G57" s="131">
        <f t="shared" ref="G57:Y57" si="23">G56+F57</f>
        <v>0</v>
      </c>
      <c r="H57" s="131">
        <f t="shared" si="23"/>
        <v>0</v>
      </c>
      <c r="I57" s="131">
        <f t="shared" si="23"/>
        <v>0</v>
      </c>
      <c r="J57" s="131">
        <f t="shared" si="23"/>
        <v>0</v>
      </c>
      <c r="K57" s="131">
        <f t="shared" si="23"/>
        <v>0</v>
      </c>
      <c r="L57" s="131">
        <f t="shared" si="23"/>
        <v>0</v>
      </c>
      <c r="M57" s="131">
        <f t="shared" si="23"/>
        <v>0</v>
      </c>
      <c r="N57" s="131">
        <f t="shared" si="23"/>
        <v>0</v>
      </c>
      <c r="O57" s="131">
        <f t="shared" si="23"/>
        <v>0</v>
      </c>
      <c r="P57" s="131">
        <f t="shared" si="23"/>
        <v>0</v>
      </c>
      <c r="Q57" s="131">
        <f t="shared" si="23"/>
        <v>0</v>
      </c>
      <c r="R57" s="131">
        <f t="shared" si="23"/>
        <v>0</v>
      </c>
      <c r="S57" s="131">
        <f t="shared" si="23"/>
        <v>0</v>
      </c>
      <c r="T57" s="131">
        <f t="shared" si="23"/>
        <v>0</v>
      </c>
      <c r="U57" s="131">
        <f t="shared" si="23"/>
        <v>0</v>
      </c>
      <c r="V57" s="131">
        <f t="shared" si="23"/>
        <v>0</v>
      </c>
      <c r="W57" s="131">
        <f t="shared" si="23"/>
        <v>0</v>
      </c>
      <c r="X57" s="131">
        <f t="shared" si="23"/>
        <v>0</v>
      </c>
      <c r="Y57" s="131">
        <f t="shared" si="23"/>
        <v>0</v>
      </c>
      <c r="Z57" s="139"/>
    </row>
    <row r="59" spans="1:26" x14ac:dyDescent="0.2">
      <c r="B59" t="s">
        <v>184</v>
      </c>
    </row>
    <row r="60" spans="1:26" x14ac:dyDescent="0.2">
      <c r="A60" s="494" t="s">
        <v>62</v>
      </c>
      <c r="B60" s="495"/>
      <c r="C60" s="495"/>
      <c r="D60" s="496"/>
      <c r="E60" s="12">
        <v>0</v>
      </c>
      <c r="F60" s="12">
        <v>1</v>
      </c>
      <c r="G60" s="12">
        <v>2</v>
      </c>
      <c r="H60" s="12">
        <v>3</v>
      </c>
      <c r="I60" s="12">
        <v>4</v>
      </c>
      <c r="J60" s="12">
        <v>5</v>
      </c>
      <c r="K60" s="12">
        <v>6</v>
      </c>
      <c r="L60" s="12">
        <v>7</v>
      </c>
      <c r="M60" s="12">
        <v>8</v>
      </c>
      <c r="N60" s="12">
        <v>9</v>
      </c>
      <c r="O60" s="12">
        <v>10</v>
      </c>
      <c r="P60" s="12">
        <v>11</v>
      </c>
      <c r="Q60" s="12">
        <v>12</v>
      </c>
      <c r="R60" s="12">
        <v>13</v>
      </c>
      <c r="S60" s="12">
        <v>14</v>
      </c>
      <c r="T60" s="12">
        <v>15</v>
      </c>
      <c r="U60" s="12">
        <v>16</v>
      </c>
      <c r="V60" s="12">
        <v>17</v>
      </c>
      <c r="W60" s="12">
        <v>18</v>
      </c>
      <c r="X60" s="12">
        <v>19</v>
      </c>
      <c r="Y60" s="12">
        <v>20</v>
      </c>
    </row>
    <row r="61" spans="1:26" x14ac:dyDescent="0.2">
      <c r="A61" s="113"/>
      <c r="B61" s="491"/>
      <c r="C61" s="492"/>
      <c r="D61" s="114">
        <f>Required_ROR+4%</f>
        <v>0.1</v>
      </c>
      <c r="E61" s="115">
        <f>(1/(1+$D61)^E60)*E32</f>
        <v>-0.38300000000000001</v>
      </c>
      <c r="F61" s="115">
        <f t="shared" ref="F61:Y61" si="24">(1/(1+$D$61)^F60)*F32</f>
        <v>0</v>
      </c>
      <c r="G61" s="115">
        <f t="shared" si="24"/>
        <v>0</v>
      </c>
      <c r="H61" s="115">
        <f t="shared" si="24"/>
        <v>0</v>
      </c>
      <c r="I61" s="115">
        <f t="shared" si="24"/>
        <v>0</v>
      </c>
      <c r="J61" s="115">
        <f t="shared" si="24"/>
        <v>0</v>
      </c>
      <c r="K61" s="115">
        <f t="shared" si="24"/>
        <v>0</v>
      </c>
      <c r="L61" s="115">
        <f t="shared" si="24"/>
        <v>0</v>
      </c>
      <c r="M61" s="115">
        <f t="shared" si="24"/>
        <v>0</v>
      </c>
      <c r="N61" s="115">
        <f t="shared" si="24"/>
        <v>0</v>
      </c>
      <c r="O61" s="115">
        <f t="shared" si="24"/>
        <v>0</v>
      </c>
      <c r="P61" s="115">
        <f t="shared" si="24"/>
        <v>0</v>
      </c>
      <c r="Q61" s="115">
        <f t="shared" si="24"/>
        <v>0</v>
      </c>
      <c r="R61" s="115">
        <f t="shared" si="24"/>
        <v>0</v>
      </c>
      <c r="S61" s="115">
        <f t="shared" si="24"/>
        <v>0</v>
      </c>
      <c r="T61" s="115">
        <f t="shared" si="24"/>
        <v>0</v>
      </c>
      <c r="U61" s="115">
        <f t="shared" si="24"/>
        <v>0</v>
      </c>
      <c r="V61" s="115">
        <f t="shared" si="24"/>
        <v>0</v>
      </c>
      <c r="W61" s="115">
        <f t="shared" si="24"/>
        <v>0</v>
      </c>
      <c r="X61" s="115">
        <f t="shared" si="24"/>
        <v>0</v>
      </c>
      <c r="Y61" s="115">
        <f t="shared" si="24"/>
        <v>0</v>
      </c>
    </row>
    <row r="62" spans="1:26" x14ac:dyDescent="0.2">
      <c r="A62" s="1"/>
      <c r="B62" s="110"/>
      <c r="C62" s="111"/>
      <c r="D62" s="109"/>
      <c r="E62" s="112">
        <f>E61</f>
        <v>-0.38300000000000001</v>
      </c>
      <c r="F62" s="112">
        <f>E62+F61</f>
        <v>-0.38300000000000001</v>
      </c>
      <c r="G62" s="112">
        <f t="shared" ref="G62:Y62" si="25">F62+G61</f>
        <v>-0.38300000000000001</v>
      </c>
      <c r="H62" s="112">
        <f t="shared" si="25"/>
        <v>-0.38300000000000001</v>
      </c>
      <c r="I62" s="112">
        <f t="shared" si="25"/>
        <v>-0.38300000000000001</v>
      </c>
      <c r="J62" s="112">
        <f t="shared" si="25"/>
        <v>-0.38300000000000001</v>
      </c>
      <c r="K62" s="112">
        <f t="shared" si="25"/>
        <v>-0.38300000000000001</v>
      </c>
      <c r="L62" s="112">
        <f t="shared" si="25"/>
        <v>-0.38300000000000001</v>
      </c>
      <c r="M62" s="112">
        <f t="shared" si="25"/>
        <v>-0.38300000000000001</v>
      </c>
      <c r="N62" s="112">
        <f t="shared" si="25"/>
        <v>-0.38300000000000001</v>
      </c>
      <c r="O62" s="112">
        <f t="shared" si="25"/>
        <v>-0.38300000000000001</v>
      </c>
      <c r="P62" s="112">
        <f t="shared" si="25"/>
        <v>-0.38300000000000001</v>
      </c>
      <c r="Q62" s="112">
        <f t="shared" si="25"/>
        <v>-0.38300000000000001</v>
      </c>
      <c r="R62" s="112">
        <f t="shared" si="25"/>
        <v>-0.38300000000000001</v>
      </c>
      <c r="S62" s="112">
        <f t="shared" si="25"/>
        <v>-0.38300000000000001</v>
      </c>
      <c r="T62" s="112">
        <f t="shared" si="25"/>
        <v>-0.38300000000000001</v>
      </c>
      <c r="U62" s="112">
        <f t="shared" si="25"/>
        <v>-0.38300000000000001</v>
      </c>
      <c r="V62" s="112">
        <f t="shared" si="25"/>
        <v>-0.38300000000000001</v>
      </c>
      <c r="W62" s="112">
        <f t="shared" si="25"/>
        <v>-0.38300000000000001</v>
      </c>
      <c r="X62" s="112">
        <f t="shared" si="25"/>
        <v>-0.38300000000000001</v>
      </c>
      <c r="Y62" s="112">
        <f t="shared" si="25"/>
        <v>-0.38300000000000001</v>
      </c>
    </row>
    <row r="63" spans="1:26" x14ac:dyDescent="0.2">
      <c r="A63" s="119"/>
      <c r="B63" s="486" t="s">
        <v>117</v>
      </c>
      <c r="C63" s="487"/>
      <c r="D63" s="488"/>
      <c r="E63" s="120">
        <f>IF(OR(E$5=0,E62&gt;-0.001),0,(IF(E$5=6,0.5,1)))</f>
        <v>0</v>
      </c>
      <c r="F63" s="120">
        <f t="shared" ref="F63" si="26">IF(OR(F$5=0,F62&gt;-0.001),0,(IF(F$5=6,0.5,1)))</f>
        <v>0</v>
      </c>
      <c r="G63" s="120">
        <f t="shared" ref="G63" si="27">IF(OR(G$5=0,G62&gt;-0.001),0,(IF(G$5=6,0.5,1)))</f>
        <v>0</v>
      </c>
      <c r="H63" s="120">
        <f t="shared" ref="H63" si="28">IF(OR(H$5=0,H62&gt;-0.001),0,(IF(H$5=6,0.5,1)))</f>
        <v>0</v>
      </c>
      <c r="I63" s="120">
        <f t="shared" ref="I63" si="29">IF(OR(I$5=0,I62&gt;-0.001),0,(IF(I$5=6,0.5,1)))</f>
        <v>0</v>
      </c>
      <c r="J63" s="120">
        <f t="shared" ref="J63" si="30">IF(OR(J$5=0,J62&gt;-0.001),0,(IF(J$5=6,0.5,1)))</f>
        <v>0</v>
      </c>
      <c r="K63" s="120">
        <f t="shared" ref="K63" si="31">IF(OR(K$5=0,K62&gt;-0.001),0,(IF(K$5=6,0.5,1)))</f>
        <v>0</v>
      </c>
      <c r="L63" s="120">
        <f t="shared" ref="L63" si="32">IF(OR(L$5=0,L62&gt;-0.001),0,(IF(L$5=6,0.5,1)))</f>
        <v>0</v>
      </c>
      <c r="M63" s="120">
        <f t="shared" ref="M63" si="33">IF(OR(M$5=0,M62&gt;-0.001),0,(IF(M$5=6,0.5,1)))</f>
        <v>0</v>
      </c>
      <c r="N63" s="120">
        <f t="shared" ref="N63" si="34">IF(OR(N$5=0,N62&gt;-0.001),0,(IF(N$5=6,0.5,1)))</f>
        <v>0</v>
      </c>
      <c r="O63" s="120">
        <f t="shared" ref="O63" si="35">IF(OR(O$5=0,O62&gt;-0.001),0,(IF(O$5=6,0.5,1)))</f>
        <v>0</v>
      </c>
      <c r="P63" s="120">
        <f t="shared" ref="P63" si="36">IF(OR(P$5=0,P62&gt;-0.001),0,(IF(P$5=6,0.5,1)))</f>
        <v>0</v>
      </c>
      <c r="Q63" s="120">
        <f t="shared" ref="Q63" si="37">IF(OR(Q$5=0,Q62&gt;-0.001),0,(IF(Q$5=6,0.5,1)))</f>
        <v>0</v>
      </c>
      <c r="R63" s="120">
        <f t="shared" ref="R63" si="38">IF(OR(R$5=0,R62&gt;-0.001),0,(IF(R$5=6,0.5,1)))</f>
        <v>0</v>
      </c>
      <c r="S63" s="120">
        <f t="shared" ref="S63" si="39">IF(OR(S$5=0,S62&gt;-0.001),0,(IF(S$5=6,0.5,1)))</f>
        <v>0</v>
      </c>
      <c r="T63" s="120">
        <f t="shared" ref="T63" si="40">IF(OR(T$5=0,T62&gt;-0.001),0,(IF(T$5=6,0.5,1)))</f>
        <v>0</v>
      </c>
      <c r="U63" s="120">
        <f t="shared" ref="U63" si="41">IF(OR(U$5=0,U62&gt;-0.001),0,(IF(U$5=6,0.5,1)))</f>
        <v>0</v>
      </c>
      <c r="V63" s="120">
        <f t="shared" ref="V63" si="42">IF(OR(V$5=0,V62&gt;-0.001),0,(IF(V$5=6,0.5,1)))</f>
        <v>0</v>
      </c>
      <c r="W63" s="120">
        <f t="shared" ref="W63" si="43">IF(OR(W$5=0,W62&gt;-0.001),0,(IF(W$5=6,0.5,1)))</f>
        <v>0</v>
      </c>
      <c r="X63" s="120">
        <f t="shared" ref="X63" si="44">IF(OR(X$5=0,X62&gt;-0.001),0,(IF(X$5=6,0.5,1)))</f>
        <v>0</v>
      </c>
      <c r="Y63" s="120">
        <f t="shared" ref="Y63" si="45">IF(OR(Y$5=0,Y62&gt;-0.001),0,(IF(Y$5=6,0.5,1)))</f>
        <v>0</v>
      </c>
    </row>
    <row r="64" spans="1:26" x14ac:dyDescent="0.2">
      <c r="A64" s="1"/>
      <c r="B64" s="489" t="s">
        <v>185</v>
      </c>
      <c r="C64" s="490"/>
      <c r="D64" s="122">
        <f>SUM(E63:Y64)</f>
        <v>0</v>
      </c>
      <c r="E64" s="121"/>
      <c r="F64" s="121">
        <f>IF(AND(E63=0.5,F63=0),((-E62/(F62-E62)*(F$5/12))),0)</f>
        <v>0</v>
      </c>
      <c r="G64" s="121">
        <f>IF(AND(F63=1,G63=0),((-F62/(G62-F62)*(G$5/12))),0)</f>
        <v>0</v>
      </c>
      <c r="H64" s="121">
        <f t="shared" ref="H64" si="46">IF(AND(G63=1,H63=0),((-G62/(H62-G62)*(H$5/12))),0)</f>
        <v>0</v>
      </c>
      <c r="I64" s="121">
        <f t="shared" ref="I64" si="47">IF(AND(H63=1,I63=0),((-H62/(I62-H62)*(I$5/12))),0)</f>
        <v>0</v>
      </c>
      <c r="J64" s="121">
        <f t="shared" ref="J64" si="48">IF(AND(I63=1,J63=0),((-I62/(J62-I62)*(J$5/12))),0)</f>
        <v>0</v>
      </c>
      <c r="K64" s="121">
        <f t="shared" ref="K64" si="49">IF(AND(J63=1,K63=0),((-J62/(K62-J62)*(K$5/12))),0)</f>
        <v>0</v>
      </c>
      <c r="L64" s="121">
        <f t="shared" ref="L64" si="50">IF(AND(K63=1,L63=0),((-K62/(L62-K62)*(L$5/12))),0)</f>
        <v>0</v>
      </c>
      <c r="M64" s="121">
        <f t="shared" ref="M64" si="51">IF(AND(L63=1,M63=0),((-L62/(M62-L62)*(M$5/12))),0)</f>
        <v>0</v>
      </c>
      <c r="N64" s="121">
        <f t="shared" ref="N64" si="52">IF(AND(M63=1,N63=0),((-M62/(N62-M62)*(N$5/12))),0)</f>
        <v>0</v>
      </c>
      <c r="O64" s="121">
        <f t="shared" ref="O64" si="53">IF(AND(N63=1,O63=0),((-N62/(O62-N62)*(O$5/12))),0)</f>
        <v>0</v>
      </c>
      <c r="P64" s="121">
        <f t="shared" ref="P64" si="54">IF(AND(O63=1,P63=0),((-O62/(P62-O62)*(P$5/12))),0)</f>
        <v>0</v>
      </c>
      <c r="Q64" s="121">
        <f t="shared" ref="Q64" si="55">IF(AND(P63=1,Q63=0),((-P62/(Q62-P62)*(Q$5/12))),0)</f>
        <v>0</v>
      </c>
      <c r="R64" s="121">
        <f t="shared" ref="R64" si="56">IF(AND(Q63=1,R63=0),((-Q62/(R62-Q62)*(R$5/12))),0)</f>
        <v>0</v>
      </c>
      <c r="S64" s="121">
        <f t="shared" ref="S64" si="57">IF(AND(R63=1,S63=0),((-R62/(S62-R62)*(S$5/12))),0)</f>
        <v>0</v>
      </c>
      <c r="T64" s="121">
        <f t="shared" ref="T64" si="58">IF(AND(S63=1,T63=0),((-S62/(T62-S62)*(T$5/12))),0)</f>
        <v>0</v>
      </c>
      <c r="U64" s="121">
        <f t="shared" ref="U64" si="59">IF(AND(T63=1,U63=0),((-T62/(U62-T62)*(U$5/12))),0)</f>
        <v>0</v>
      </c>
      <c r="V64" s="121">
        <f t="shared" ref="V64" si="60">IF(AND(U63=1,V63=0),((-U62/(V62-U62)*(V$5/12))),0)</f>
        <v>0</v>
      </c>
      <c r="W64" s="121">
        <f t="shared" ref="W64" si="61">IF(AND(V63=1,W63=0),((-V62/(W62-V62)*(W$5/12))),0)</f>
        <v>0</v>
      </c>
      <c r="X64" s="121">
        <f t="shared" ref="X64" si="62">IF(AND(W63=1,X63=0),((-W62/(X62-W62)*(X$5/12))),0)</f>
        <v>0</v>
      </c>
      <c r="Y64" s="121">
        <f t="shared" ref="Y64" si="63">IF(AND(X63=1,Y63=0),((-X62/(Y62-X62)*(Y$5/12))),0)</f>
        <v>0</v>
      </c>
    </row>
    <row r="65" spans="1:25" x14ac:dyDescent="0.2">
      <c r="A65" s="113"/>
      <c r="B65" s="491"/>
      <c r="C65" s="492"/>
      <c r="D65" s="114">
        <f>Required_ROR+2%</f>
        <v>0.08</v>
      </c>
      <c r="E65" s="115">
        <f>(1/(1+$D65)^E$60)*E$32</f>
        <v>-0.38300000000000001</v>
      </c>
      <c r="F65" s="115">
        <f t="shared" ref="F65:Y65" si="64">(1/(1+$D65)^F$60)*F$32</f>
        <v>0</v>
      </c>
      <c r="G65" s="115">
        <f t="shared" si="64"/>
        <v>0</v>
      </c>
      <c r="H65" s="115">
        <f t="shared" si="64"/>
        <v>0</v>
      </c>
      <c r="I65" s="115">
        <f t="shared" si="64"/>
        <v>0</v>
      </c>
      <c r="J65" s="115">
        <f t="shared" si="64"/>
        <v>0</v>
      </c>
      <c r="K65" s="115">
        <f t="shared" si="64"/>
        <v>0</v>
      </c>
      <c r="L65" s="115">
        <f t="shared" si="64"/>
        <v>0</v>
      </c>
      <c r="M65" s="115">
        <f t="shared" si="64"/>
        <v>0</v>
      </c>
      <c r="N65" s="115">
        <f t="shared" si="64"/>
        <v>0</v>
      </c>
      <c r="O65" s="115">
        <f t="shared" si="64"/>
        <v>0</v>
      </c>
      <c r="P65" s="115">
        <f t="shared" si="64"/>
        <v>0</v>
      </c>
      <c r="Q65" s="115">
        <f t="shared" si="64"/>
        <v>0</v>
      </c>
      <c r="R65" s="115">
        <f t="shared" si="64"/>
        <v>0</v>
      </c>
      <c r="S65" s="115">
        <f t="shared" si="64"/>
        <v>0</v>
      </c>
      <c r="T65" s="115">
        <f t="shared" si="64"/>
        <v>0</v>
      </c>
      <c r="U65" s="115">
        <f t="shared" si="64"/>
        <v>0</v>
      </c>
      <c r="V65" s="115">
        <f t="shared" si="64"/>
        <v>0</v>
      </c>
      <c r="W65" s="115">
        <f t="shared" si="64"/>
        <v>0</v>
      </c>
      <c r="X65" s="115">
        <f t="shared" si="64"/>
        <v>0</v>
      </c>
      <c r="Y65" s="115">
        <f t="shared" si="64"/>
        <v>0</v>
      </c>
    </row>
    <row r="66" spans="1:25" x14ac:dyDescent="0.2">
      <c r="A66" s="1"/>
      <c r="B66" s="110"/>
      <c r="C66" s="111"/>
      <c r="D66" s="109"/>
      <c r="E66" s="112">
        <f>E65</f>
        <v>-0.38300000000000001</v>
      </c>
      <c r="F66" s="112">
        <f>E66+F65</f>
        <v>-0.38300000000000001</v>
      </c>
      <c r="G66" s="112">
        <f t="shared" ref="G66" si="65">F66+G65</f>
        <v>-0.38300000000000001</v>
      </c>
      <c r="H66" s="112">
        <f t="shared" ref="H66" si="66">G66+H65</f>
        <v>-0.38300000000000001</v>
      </c>
      <c r="I66" s="112">
        <f t="shared" ref="I66" si="67">H66+I65</f>
        <v>-0.38300000000000001</v>
      </c>
      <c r="J66" s="112">
        <f t="shared" ref="J66" si="68">I66+J65</f>
        <v>-0.38300000000000001</v>
      </c>
      <c r="K66" s="112">
        <f t="shared" ref="K66" si="69">J66+K65</f>
        <v>-0.38300000000000001</v>
      </c>
      <c r="L66" s="112">
        <f t="shared" ref="L66" si="70">K66+L65</f>
        <v>-0.38300000000000001</v>
      </c>
      <c r="M66" s="112">
        <f t="shared" ref="M66" si="71">L66+M65</f>
        <v>-0.38300000000000001</v>
      </c>
      <c r="N66" s="112">
        <f t="shared" ref="N66" si="72">M66+N65</f>
        <v>-0.38300000000000001</v>
      </c>
      <c r="O66" s="112">
        <f t="shared" ref="O66" si="73">N66+O65</f>
        <v>-0.38300000000000001</v>
      </c>
      <c r="P66" s="112">
        <f t="shared" ref="P66" si="74">O66+P65</f>
        <v>-0.38300000000000001</v>
      </c>
      <c r="Q66" s="112">
        <f t="shared" ref="Q66" si="75">P66+Q65</f>
        <v>-0.38300000000000001</v>
      </c>
      <c r="R66" s="112">
        <f t="shared" ref="R66" si="76">Q66+R65</f>
        <v>-0.38300000000000001</v>
      </c>
      <c r="S66" s="112">
        <f t="shared" ref="S66" si="77">R66+S65</f>
        <v>-0.38300000000000001</v>
      </c>
      <c r="T66" s="112">
        <f t="shared" ref="T66" si="78">S66+T65</f>
        <v>-0.38300000000000001</v>
      </c>
      <c r="U66" s="112">
        <f t="shared" ref="U66" si="79">T66+U65</f>
        <v>-0.38300000000000001</v>
      </c>
      <c r="V66" s="112">
        <f t="shared" ref="V66" si="80">U66+V65</f>
        <v>-0.38300000000000001</v>
      </c>
      <c r="W66" s="112">
        <f t="shared" ref="W66" si="81">V66+W65</f>
        <v>-0.38300000000000001</v>
      </c>
      <c r="X66" s="112">
        <f t="shared" ref="X66" si="82">W66+X65</f>
        <v>-0.38300000000000001</v>
      </c>
      <c r="Y66" s="112">
        <f t="shared" ref="Y66" si="83">X66+Y65</f>
        <v>-0.38300000000000001</v>
      </c>
    </row>
    <row r="67" spans="1:25" x14ac:dyDescent="0.2">
      <c r="A67" s="119"/>
      <c r="B67" s="486" t="s">
        <v>117</v>
      </c>
      <c r="C67" s="487"/>
      <c r="D67" s="488"/>
      <c r="E67" s="120">
        <f>IF(OR(E$5=0,E66&gt;-0.001),0,(IF(E$5=6,0.5,1)))</f>
        <v>0</v>
      </c>
      <c r="F67" s="120">
        <f t="shared" ref="F67" si="84">IF(OR(F$5=0,F66&gt;-0.001),0,(IF(F$5=6,0.5,1)))</f>
        <v>0</v>
      </c>
      <c r="G67" s="120">
        <f t="shared" ref="G67" si="85">IF(OR(G$5=0,G66&gt;-0.001),0,(IF(G$5=6,0.5,1)))</f>
        <v>0</v>
      </c>
      <c r="H67" s="120">
        <f t="shared" ref="H67" si="86">IF(OR(H$5=0,H66&gt;-0.001),0,(IF(H$5=6,0.5,1)))</f>
        <v>0</v>
      </c>
      <c r="I67" s="120">
        <f t="shared" ref="I67" si="87">IF(OR(I$5=0,I66&gt;-0.001),0,(IF(I$5=6,0.5,1)))</f>
        <v>0</v>
      </c>
      <c r="J67" s="120">
        <f t="shared" ref="J67" si="88">IF(OR(J$5=0,J66&gt;-0.001),0,(IF(J$5=6,0.5,1)))</f>
        <v>0</v>
      </c>
      <c r="K67" s="120">
        <f t="shared" ref="K67" si="89">IF(OR(K$5=0,K66&gt;-0.001),0,(IF(K$5=6,0.5,1)))</f>
        <v>0</v>
      </c>
      <c r="L67" s="120">
        <f t="shared" ref="L67" si="90">IF(OR(L$5=0,L66&gt;-0.001),0,(IF(L$5=6,0.5,1)))</f>
        <v>0</v>
      </c>
      <c r="M67" s="120">
        <f t="shared" ref="M67" si="91">IF(OR(M$5=0,M66&gt;-0.001),0,(IF(M$5=6,0.5,1)))</f>
        <v>0</v>
      </c>
      <c r="N67" s="120">
        <f t="shared" ref="N67" si="92">IF(OR(N$5=0,N66&gt;-0.001),0,(IF(N$5=6,0.5,1)))</f>
        <v>0</v>
      </c>
      <c r="O67" s="120">
        <f t="shared" ref="O67" si="93">IF(OR(O$5=0,O66&gt;-0.001),0,(IF(O$5=6,0.5,1)))</f>
        <v>0</v>
      </c>
      <c r="P67" s="120">
        <f t="shared" ref="P67" si="94">IF(OR(P$5=0,P66&gt;-0.001),0,(IF(P$5=6,0.5,1)))</f>
        <v>0</v>
      </c>
      <c r="Q67" s="120">
        <f t="shared" ref="Q67" si="95">IF(OR(Q$5=0,Q66&gt;-0.001),0,(IF(Q$5=6,0.5,1)))</f>
        <v>0</v>
      </c>
      <c r="R67" s="120">
        <f t="shared" ref="R67" si="96">IF(OR(R$5=0,R66&gt;-0.001),0,(IF(R$5=6,0.5,1)))</f>
        <v>0</v>
      </c>
      <c r="S67" s="120">
        <f t="shared" ref="S67" si="97">IF(OR(S$5=0,S66&gt;-0.001),0,(IF(S$5=6,0.5,1)))</f>
        <v>0</v>
      </c>
      <c r="T67" s="120">
        <f t="shared" ref="T67" si="98">IF(OR(T$5=0,T66&gt;-0.001),0,(IF(T$5=6,0.5,1)))</f>
        <v>0</v>
      </c>
      <c r="U67" s="120">
        <f t="shared" ref="U67" si="99">IF(OR(U$5=0,U66&gt;-0.001),0,(IF(U$5=6,0.5,1)))</f>
        <v>0</v>
      </c>
      <c r="V67" s="120">
        <f t="shared" ref="V67" si="100">IF(OR(V$5=0,V66&gt;-0.001),0,(IF(V$5=6,0.5,1)))</f>
        <v>0</v>
      </c>
      <c r="W67" s="120">
        <f t="shared" ref="W67" si="101">IF(OR(W$5=0,W66&gt;-0.001),0,(IF(W$5=6,0.5,1)))</f>
        <v>0</v>
      </c>
      <c r="X67" s="120">
        <f t="shared" ref="X67" si="102">IF(OR(X$5=0,X66&gt;-0.001),0,(IF(X$5=6,0.5,1)))</f>
        <v>0</v>
      </c>
      <c r="Y67" s="120">
        <f t="shared" ref="Y67" si="103">IF(OR(Y$5=0,Y66&gt;-0.001),0,(IF(Y$5=6,0.5,1)))</f>
        <v>0</v>
      </c>
    </row>
    <row r="68" spans="1:25" x14ac:dyDescent="0.2">
      <c r="A68" s="1"/>
      <c r="B68" s="489" t="s">
        <v>185</v>
      </c>
      <c r="C68" s="490"/>
      <c r="D68" s="122">
        <f>SUM(E67:Y68)</f>
        <v>0</v>
      </c>
      <c r="E68" s="121"/>
      <c r="F68" s="121">
        <f>IF(AND(E67=0.5,F67=0),((-E66/(F66-E66)*(F$5/12))),0)</f>
        <v>0</v>
      </c>
      <c r="G68" s="121">
        <f>IF(AND(F67=1,G67=0),((-F66/(G66-F66)*(G$5/12))),0)</f>
        <v>0</v>
      </c>
      <c r="H68" s="121">
        <f t="shared" ref="H68" si="104">IF(AND(G67=1,H67=0),((-G66/(H66-G66)*(H$5/12))),0)</f>
        <v>0</v>
      </c>
      <c r="I68" s="121">
        <f t="shared" ref="I68" si="105">IF(AND(H67=1,I67=0),((-H66/(I66-H66)*(I$5/12))),0)</f>
        <v>0</v>
      </c>
      <c r="J68" s="121">
        <f t="shared" ref="J68" si="106">IF(AND(I67=1,J67=0),((-I66/(J66-I66)*(J$5/12))),0)</f>
        <v>0</v>
      </c>
      <c r="K68" s="121">
        <f t="shared" ref="K68" si="107">IF(AND(J67=1,K67=0),((-J66/(K66-J66)*(K$5/12))),0)</f>
        <v>0</v>
      </c>
      <c r="L68" s="121">
        <f t="shared" ref="L68" si="108">IF(AND(K67=1,L67=0),((-K66/(L66-K66)*(L$5/12))),0)</f>
        <v>0</v>
      </c>
      <c r="M68" s="121">
        <f t="shared" ref="M68" si="109">IF(AND(L67=1,M67=0),((-L66/(M66-L66)*(M$5/12))),0)</f>
        <v>0</v>
      </c>
      <c r="N68" s="121">
        <f t="shared" ref="N68" si="110">IF(AND(M67=1,N67=0),((-M66/(N66-M66)*(N$5/12))),0)</f>
        <v>0</v>
      </c>
      <c r="O68" s="121">
        <f t="shared" ref="O68" si="111">IF(AND(N67=1,O67=0),((-N66/(O66-N66)*(O$5/12))),0)</f>
        <v>0</v>
      </c>
      <c r="P68" s="121">
        <f t="shared" ref="P68" si="112">IF(AND(O67=1,P67=0),((-O66/(P66-O66)*(P$5/12))),0)</f>
        <v>0</v>
      </c>
      <c r="Q68" s="121">
        <f t="shared" ref="Q68" si="113">IF(AND(P67=1,Q67=0),((-P66/(Q66-P66)*(Q$5/12))),0)</f>
        <v>0</v>
      </c>
      <c r="R68" s="121">
        <f t="shared" ref="R68" si="114">IF(AND(Q67=1,R67=0),((-Q66/(R66-Q66)*(R$5/12))),0)</f>
        <v>0</v>
      </c>
      <c r="S68" s="121">
        <f t="shared" ref="S68" si="115">IF(AND(R67=1,S67=0),((-R66/(S66-R66)*(S$5/12))),0)</f>
        <v>0</v>
      </c>
      <c r="T68" s="121">
        <f t="shared" ref="T68" si="116">IF(AND(S67=1,T67=0),((-S66/(T66-S66)*(T$5/12))),0)</f>
        <v>0</v>
      </c>
      <c r="U68" s="121">
        <f t="shared" ref="U68" si="117">IF(AND(T67=1,U67=0),((-T66/(U66-T66)*(U$5/12))),0)</f>
        <v>0</v>
      </c>
      <c r="V68" s="121">
        <f t="shared" ref="V68" si="118">IF(AND(U67=1,V67=0),((-U66/(V66-U66)*(V$5/12))),0)</f>
        <v>0</v>
      </c>
      <c r="W68" s="121">
        <f t="shared" ref="W68" si="119">IF(AND(V67=1,W67=0),((-V66/(W66-V66)*(W$5/12))),0)</f>
        <v>0</v>
      </c>
      <c r="X68" s="121">
        <f t="shared" ref="X68" si="120">IF(AND(W67=1,X67=0),((-W66/(X66-W66)*(X$5/12))),0)</f>
        <v>0</v>
      </c>
      <c r="Y68" s="121">
        <f t="shared" ref="Y68" si="121">IF(AND(X67=1,Y67=0),((-X66/(Y66-X66)*(Y$5/12))),0)</f>
        <v>0</v>
      </c>
    </row>
    <row r="69" spans="1:25" x14ac:dyDescent="0.2">
      <c r="A69" s="113"/>
      <c r="B69" s="116"/>
      <c r="C69" s="117"/>
      <c r="D69" s="114">
        <f>Required_ROR</f>
        <v>0.06</v>
      </c>
      <c r="E69" s="118">
        <f>E34</f>
        <v>-0.38300000000000001</v>
      </c>
      <c r="F69" s="118">
        <f t="shared" ref="F69:Y69" si="122">F34</f>
        <v>0</v>
      </c>
      <c r="G69" s="118">
        <f t="shared" si="122"/>
        <v>0</v>
      </c>
      <c r="H69" s="118">
        <f t="shared" si="122"/>
        <v>0</v>
      </c>
      <c r="I69" s="118">
        <f t="shared" si="122"/>
        <v>0</v>
      </c>
      <c r="J69" s="118">
        <f t="shared" si="122"/>
        <v>0</v>
      </c>
      <c r="K69" s="118">
        <f t="shared" si="122"/>
        <v>0</v>
      </c>
      <c r="L69" s="118">
        <f t="shared" si="122"/>
        <v>0</v>
      </c>
      <c r="M69" s="118">
        <f t="shared" si="122"/>
        <v>0</v>
      </c>
      <c r="N69" s="118">
        <f t="shared" si="122"/>
        <v>0</v>
      </c>
      <c r="O69" s="118">
        <f t="shared" si="122"/>
        <v>0</v>
      </c>
      <c r="P69" s="118">
        <f t="shared" si="122"/>
        <v>0</v>
      </c>
      <c r="Q69" s="118">
        <f t="shared" si="122"/>
        <v>0</v>
      </c>
      <c r="R69" s="118">
        <f t="shared" si="122"/>
        <v>0</v>
      </c>
      <c r="S69" s="118">
        <f t="shared" si="122"/>
        <v>0</v>
      </c>
      <c r="T69" s="118">
        <f t="shared" si="122"/>
        <v>0</v>
      </c>
      <c r="U69" s="118">
        <f t="shared" si="122"/>
        <v>0</v>
      </c>
      <c r="V69" s="118">
        <f t="shared" si="122"/>
        <v>0</v>
      </c>
      <c r="W69" s="118">
        <f t="shared" si="122"/>
        <v>0</v>
      </c>
      <c r="X69" s="118">
        <f t="shared" si="122"/>
        <v>0</v>
      </c>
      <c r="Y69" s="118">
        <f t="shared" si="122"/>
        <v>0</v>
      </c>
    </row>
    <row r="70" spans="1:25" x14ac:dyDescent="0.2">
      <c r="A70" s="1"/>
      <c r="B70" s="110"/>
      <c r="C70" s="111"/>
      <c r="D70" s="109"/>
      <c r="E70" s="112">
        <f>E69</f>
        <v>-0.38300000000000001</v>
      </c>
      <c r="F70" s="112">
        <f>E70+F69</f>
        <v>-0.38300000000000001</v>
      </c>
      <c r="G70" s="112">
        <f t="shared" ref="G70" si="123">F70+G69</f>
        <v>-0.38300000000000001</v>
      </c>
      <c r="H70" s="112">
        <f t="shared" ref="H70" si="124">G70+H69</f>
        <v>-0.38300000000000001</v>
      </c>
      <c r="I70" s="112">
        <f t="shared" ref="I70" si="125">H70+I69</f>
        <v>-0.38300000000000001</v>
      </c>
      <c r="J70" s="112">
        <f t="shared" ref="J70" si="126">I70+J69</f>
        <v>-0.38300000000000001</v>
      </c>
      <c r="K70" s="112">
        <f t="shared" ref="K70" si="127">J70+K69</f>
        <v>-0.38300000000000001</v>
      </c>
      <c r="L70" s="112">
        <f t="shared" ref="L70" si="128">K70+L69</f>
        <v>-0.38300000000000001</v>
      </c>
      <c r="M70" s="112">
        <f t="shared" ref="M70" si="129">L70+M69</f>
        <v>-0.38300000000000001</v>
      </c>
      <c r="N70" s="112">
        <f t="shared" ref="N70" si="130">M70+N69</f>
        <v>-0.38300000000000001</v>
      </c>
      <c r="O70" s="112">
        <f t="shared" ref="O70" si="131">N70+O69</f>
        <v>-0.38300000000000001</v>
      </c>
      <c r="P70" s="112">
        <f t="shared" ref="P70" si="132">O70+P69</f>
        <v>-0.38300000000000001</v>
      </c>
      <c r="Q70" s="112">
        <f t="shared" ref="Q70" si="133">P70+Q69</f>
        <v>-0.38300000000000001</v>
      </c>
      <c r="R70" s="112">
        <f t="shared" ref="R70" si="134">Q70+R69</f>
        <v>-0.38300000000000001</v>
      </c>
      <c r="S70" s="112">
        <f t="shared" ref="S70" si="135">R70+S69</f>
        <v>-0.38300000000000001</v>
      </c>
      <c r="T70" s="112">
        <f t="shared" ref="T70" si="136">S70+T69</f>
        <v>-0.38300000000000001</v>
      </c>
      <c r="U70" s="112">
        <f t="shared" ref="U70" si="137">T70+U69</f>
        <v>-0.38300000000000001</v>
      </c>
      <c r="V70" s="112">
        <f t="shared" ref="V70" si="138">U70+V69</f>
        <v>-0.38300000000000001</v>
      </c>
      <c r="W70" s="112">
        <f t="shared" ref="W70" si="139">V70+W69</f>
        <v>-0.38300000000000001</v>
      </c>
      <c r="X70" s="112">
        <f t="shared" ref="X70" si="140">W70+X69</f>
        <v>-0.38300000000000001</v>
      </c>
      <c r="Y70" s="112">
        <f t="shared" ref="Y70" si="141">X70+Y69</f>
        <v>-0.38300000000000001</v>
      </c>
    </row>
    <row r="71" spans="1:25" x14ac:dyDescent="0.2">
      <c r="A71" s="119"/>
      <c r="B71" s="486" t="s">
        <v>117</v>
      </c>
      <c r="C71" s="487"/>
      <c r="D71" s="488"/>
      <c r="E71" s="120">
        <f>IF(OR(E$5=0,E70&gt;-0.001),0,(IF(E$5=6,0.5,1)))</f>
        <v>0</v>
      </c>
      <c r="F71" s="120">
        <f t="shared" ref="F71" si="142">IF(OR(F$5=0,F70&gt;-0.001),0,(IF(F$5=6,0.5,1)))</f>
        <v>0</v>
      </c>
      <c r="G71" s="120">
        <f t="shared" ref="G71" si="143">IF(OR(G$5=0,G70&gt;-0.001),0,(IF(G$5=6,0.5,1)))</f>
        <v>0</v>
      </c>
      <c r="H71" s="120">
        <f t="shared" ref="H71" si="144">IF(OR(H$5=0,H70&gt;-0.001),0,(IF(H$5=6,0.5,1)))</f>
        <v>0</v>
      </c>
      <c r="I71" s="120">
        <f t="shared" ref="I71" si="145">IF(OR(I$5=0,I70&gt;-0.001),0,(IF(I$5=6,0.5,1)))</f>
        <v>0</v>
      </c>
      <c r="J71" s="120">
        <f t="shared" ref="J71" si="146">IF(OR(J$5=0,J70&gt;-0.001),0,(IF(J$5=6,0.5,1)))</f>
        <v>0</v>
      </c>
      <c r="K71" s="120">
        <f t="shared" ref="K71" si="147">IF(OR(K$5=0,K70&gt;-0.001),0,(IF(K$5=6,0.5,1)))</f>
        <v>0</v>
      </c>
      <c r="L71" s="120">
        <f t="shared" ref="L71" si="148">IF(OR(L$5=0,L70&gt;-0.001),0,(IF(L$5=6,0.5,1)))</f>
        <v>0</v>
      </c>
      <c r="M71" s="120">
        <f t="shared" ref="M71" si="149">IF(OR(M$5=0,M70&gt;-0.001),0,(IF(M$5=6,0.5,1)))</f>
        <v>0</v>
      </c>
      <c r="N71" s="120">
        <f t="shared" ref="N71" si="150">IF(OR(N$5=0,N70&gt;-0.001),0,(IF(N$5=6,0.5,1)))</f>
        <v>0</v>
      </c>
      <c r="O71" s="120">
        <f t="shared" ref="O71" si="151">IF(OR(O$5=0,O70&gt;-0.001),0,(IF(O$5=6,0.5,1)))</f>
        <v>0</v>
      </c>
      <c r="P71" s="120">
        <f t="shared" ref="P71" si="152">IF(OR(P$5=0,P70&gt;-0.001),0,(IF(P$5=6,0.5,1)))</f>
        <v>0</v>
      </c>
      <c r="Q71" s="120">
        <f t="shared" ref="Q71" si="153">IF(OR(Q$5=0,Q70&gt;-0.001),0,(IF(Q$5=6,0.5,1)))</f>
        <v>0</v>
      </c>
      <c r="R71" s="120">
        <f t="shared" ref="R71" si="154">IF(OR(R$5=0,R70&gt;-0.001),0,(IF(R$5=6,0.5,1)))</f>
        <v>0</v>
      </c>
      <c r="S71" s="120">
        <f t="shared" ref="S71" si="155">IF(OR(S$5=0,S70&gt;-0.001),0,(IF(S$5=6,0.5,1)))</f>
        <v>0</v>
      </c>
      <c r="T71" s="120">
        <f t="shared" ref="T71" si="156">IF(OR(T$5=0,T70&gt;-0.001),0,(IF(T$5=6,0.5,1)))</f>
        <v>0</v>
      </c>
      <c r="U71" s="120">
        <f t="shared" ref="U71" si="157">IF(OR(U$5=0,U70&gt;-0.001),0,(IF(U$5=6,0.5,1)))</f>
        <v>0</v>
      </c>
      <c r="V71" s="120">
        <f t="shared" ref="V71" si="158">IF(OR(V$5=0,V70&gt;-0.001),0,(IF(V$5=6,0.5,1)))</f>
        <v>0</v>
      </c>
      <c r="W71" s="120">
        <f t="shared" ref="W71" si="159">IF(OR(W$5=0,W70&gt;-0.001),0,(IF(W$5=6,0.5,1)))</f>
        <v>0</v>
      </c>
      <c r="X71" s="120">
        <f t="shared" ref="X71" si="160">IF(OR(X$5=0,X70&gt;-0.001),0,(IF(X$5=6,0.5,1)))</f>
        <v>0</v>
      </c>
      <c r="Y71" s="120">
        <f t="shared" ref="Y71" si="161">IF(OR(Y$5=0,Y70&gt;-0.001),0,(IF(Y$5=6,0.5,1)))</f>
        <v>0</v>
      </c>
    </row>
    <row r="72" spans="1:25" x14ac:dyDescent="0.2">
      <c r="A72" s="1"/>
      <c r="B72" s="489" t="s">
        <v>185</v>
      </c>
      <c r="C72" s="490"/>
      <c r="D72" s="122">
        <f>SUM(E71:Y72)</f>
        <v>0</v>
      </c>
      <c r="E72" s="121"/>
      <c r="F72" s="121">
        <f>IF(AND(E71=0.5,F71=0),((-E70/(F70-E70)*(F$5/12))),0)</f>
        <v>0</v>
      </c>
      <c r="G72" s="121">
        <f>IF(AND(F71=1,G71=0),((-F70/(G70-F70)*(G$5/12))),0)</f>
        <v>0</v>
      </c>
      <c r="H72" s="121">
        <f t="shared" ref="H72" si="162">IF(AND(G71=1,H71=0),((-G70/(H70-G70)*(H$5/12))),0)</f>
        <v>0</v>
      </c>
      <c r="I72" s="121">
        <f t="shared" ref="I72" si="163">IF(AND(H71=1,I71=0),((-H70/(I70-H70)*(I$5/12))),0)</f>
        <v>0</v>
      </c>
      <c r="J72" s="121">
        <f t="shared" ref="J72" si="164">IF(AND(I71=1,J71=0),((-I70/(J70-I70)*(J$5/12))),0)</f>
        <v>0</v>
      </c>
      <c r="K72" s="121">
        <f t="shared" ref="K72" si="165">IF(AND(J71=1,K71=0),((-J70/(K70-J70)*(K$5/12))),0)</f>
        <v>0</v>
      </c>
      <c r="L72" s="121">
        <f t="shared" ref="L72" si="166">IF(AND(K71=1,L71=0),((-K70/(L70-K70)*(L$5/12))),0)</f>
        <v>0</v>
      </c>
      <c r="M72" s="121">
        <f t="shared" ref="M72" si="167">IF(AND(L71=1,M71=0),((-L70/(M70-L70)*(M$5/12))),0)</f>
        <v>0</v>
      </c>
      <c r="N72" s="121">
        <f t="shared" ref="N72" si="168">IF(AND(M71=1,N71=0),((-M70/(N70-M70)*(N$5/12))),0)</f>
        <v>0</v>
      </c>
      <c r="O72" s="121">
        <f t="shared" ref="O72" si="169">IF(AND(N71=1,O71=0),((-N70/(O70-N70)*(O$5/12))),0)</f>
        <v>0</v>
      </c>
      <c r="P72" s="121">
        <f t="shared" ref="P72" si="170">IF(AND(O71=1,P71=0),((-O70/(P70-O70)*(P$5/12))),0)</f>
        <v>0</v>
      </c>
      <c r="Q72" s="121">
        <f t="shared" ref="Q72" si="171">IF(AND(P71=1,Q71=0),((-P70/(Q70-P70)*(Q$5/12))),0)</f>
        <v>0</v>
      </c>
      <c r="R72" s="121">
        <f t="shared" ref="R72" si="172">IF(AND(Q71=1,R71=0),((-Q70/(R70-Q70)*(R$5/12))),0)</f>
        <v>0</v>
      </c>
      <c r="S72" s="121">
        <f t="shared" ref="S72" si="173">IF(AND(R71=1,S71=0),((-R70/(S70-R70)*(S$5/12))),0)</f>
        <v>0</v>
      </c>
      <c r="T72" s="121">
        <f t="shared" ref="T72" si="174">IF(AND(S71=1,T71=0),((-S70/(T70-S70)*(T$5/12))),0)</f>
        <v>0</v>
      </c>
      <c r="U72" s="121">
        <f t="shared" ref="U72" si="175">IF(AND(T71=1,U71=0),((-T70/(U70-T70)*(U$5/12))),0)</f>
        <v>0</v>
      </c>
      <c r="V72" s="121">
        <f t="shared" ref="V72" si="176">IF(AND(U71=1,V71=0),((-U70/(V70-U70)*(V$5/12))),0)</f>
        <v>0</v>
      </c>
      <c r="W72" s="121">
        <f t="shared" ref="W72" si="177">IF(AND(V71=1,W71=0),((-V70/(W70-V70)*(W$5/12))),0)</f>
        <v>0</v>
      </c>
      <c r="X72" s="121">
        <f t="shared" ref="X72" si="178">IF(AND(W71=1,X71=0),((-W70/(X70-W70)*(X$5/12))),0)</f>
        <v>0</v>
      </c>
      <c r="Y72" s="121">
        <f t="shared" ref="Y72" si="179">IF(AND(X71=1,Y71=0),((-X70/(Y70-X70)*(Y$5/12))),0)</f>
        <v>0</v>
      </c>
    </row>
    <row r="73" spans="1:25" x14ac:dyDescent="0.2">
      <c r="A73" s="113"/>
      <c r="B73" s="491"/>
      <c r="C73" s="492"/>
      <c r="D73" s="114">
        <f>Required_ROR-2%</f>
        <v>3.9999999999999994E-2</v>
      </c>
      <c r="E73" s="115">
        <f>(1/(1+$D73)^E$60)*E$32</f>
        <v>-0.38300000000000001</v>
      </c>
      <c r="F73" s="115">
        <f t="shared" ref="F73:Y77" si="180">(1/(1+$D73)^F$60)*F$32</f>
        <v>0</v>
      </c>
      <c r="G73" s="115">
        <f t="shared" si="180"/>
        <v>0</v>
      </c>
      <c r="H73" s="115">
        <f t="shared" si="180"/>
        <v>0</v>
      </c>
      <c r="I73" s="115">
        <f t="shared" si="180"/>
        <v>0</v>
      </c>
      <c r="J73" s="115">
        <f t="shared" si="180"/>
        <v>0</v>
      </c>
      <c r="K73" s="115">
        <f t="shared" si="180"/>
        <v>0</v>
      </c>
      <c r="L73" s="115">
        <f t="shared" si="180"/>
        <v>0</v>
      </c>
      <c r="M73" s="115">
        <f t="shared" si="180"/>
        <v>0</v>
      </c>
      <c r="N73" s="115">
        <f t="shared" si="180"/>
        <v>0</v>
      </c>
      <c r="O73" s="115">
        <f t="shared" si="180"/>
        <v>0</v>
      </c>
      <c r="P73" s="115">
        <f t="shared" si="180"/>
        <v>0</v>
      </c>
      <c r="Q73" s="115">
        <f t="shared" si="180"/>
        <v>0</v>
      </c>
      <c r="R73" s="115">
        <f t="shared" si="180"/>
        <v>0</v>
      </c>
      <c r="S73" s="115">
        <f t="shared" si="180"/>
        <v>0</v>
      </c>
      <c r="T73" s="115">
        <f t="shared" si="180"/>
        <v>0</v>
      </c>
      <c r="U73" s="115">
        <f t="shared" si="180"/>
        <v>0</v>
      </c>
      <c r="V73" s="115">
        <f t="shared" si="180"/>
        <v>0</v>
      </c>
      <c r="W73" s="115">
        <f t="shared" si="180"/>
        <v>0</v>
      </c>
      <c r="X73" s="115">
        <f t="shared" si="180"/>
        <v>0</v>
      </c>
      <c r="Y73" s="115">
        <f t="shared" si="180"/>
        <v>0</v>
      </c>
    </row>
    <row r="74" spans="1:25" x14ac:dyDescent="0.2">
      <c r="A74" s="1"/>
      <c r="B74" s="110"/>
      <c r="C74" s="111"/>
      <c r="D74" s="109"/>
      <c r="E74" s="112">
        <f>E73</f>
        <v>-0.38300000000000001</v>
      </c>
      <c r="F74" s="112">
        <f>E74+F73</f>
        <v>-0.38300000000000001</v>
      </c>
      <c r="G74" s="112">
        <f t="shared" ref="G74" si="181">F74+G73</f>
        <v>-0.38300000000000001</v>
      </c>
      <c r="H74" s="112">
        <f t="shared" ref="H74" si="182">G74+H73</f>
        <v>-0.38300000000000001</v>
      </c>
      <c r="I74" s="112">
        <f t="shared" ref="I74" si="183">H74+I73</f>
        <v>-0.38300000000000001</v>
      </c>
      <c r="J74" s="112">
        <f t="shared" ref="J74" si="184">I74+J73</f>
        <v>-0.38300000000000001</v>
      </c>
      <c r="K74" s="112">
        <f t="shared" ref="K74" si="185">J74+K73</f>
        <v>-0.38300000000000001</v>
      </c>
      <c r="L74" s="112">
        <f t="shared" ref="L74" si="186">K74+L73</f>
        <v>-0.38300000000000001</v>
      </c>
      <c r="M74" s="112">
        <f t="shared" ref="M74" si="187">L74+M73</f>
        <v>-0.38300000000000001</v>
      </c>
      <c r="N74" s="112">
        <f t="shared" ref="N74" si="188">M74+N73</f>
        <v>-0.38300000000000001</v>
      </c>
      <c r="O74" s="112">
        <f t="shared" ref="O74" si="189">N74+O73</f>
        <v>-0.38300000000000001</v>
      </c>
      <c r="P74" s="112">
        <f t="shared" ref="P74" si="190">O74+P73</f>
        <v>-0.38300000000000001</v>
      </c>
      <c r="Q74" s="112">
        <f t="shared" ref="Q74" si="191">P74+Q73</f>
        <v>-0.38300000000000001</v>
      </c>
      <c r="R74" s="112">
        <f t="shared" ref="R74" si="192">Q74+R73</f>
        <v>-0.38300000000000001</v>
      </c>
      <c r="S74" s="112">
        <f t="shared" ref="S74" si="193">R74+S73</f>
        <v>-0.38300000000000001</v>
      </c>
      <c r="T74" s="112">
        <f t="shared" ref="T74" si="194">S74+T73</f>
        <v>-0.38300000000000001</v>
      </c>
      <c r="U74" s="112">
        <f t="shared" ref="U74" si="195">T74+U73</f>
        <v>-0.38300000000000001</v>
      </c>
      <c r="V74" s="112">
        <f t="shared" ref="V74" si="196">U74+V73</f>
        <v>-0.38300000000000001</v>
      </c>
      <c r="W74" s="112">
        <f t="shared" ref="W74" si="197">V74+W73</f>
        <v>-0.38300000000000001</v>
      </c>
      <c r="X74" s="112">
        <f t="shared" ref="X74" si="198">W74+X73</f>
        <v>-0.38300000000000001</v>
      </c>
      <c r="Y74" s="112">
        <f t="shared" ref="Y74" si="199">X74+Y73</f>
        <v>-0.38300000000000001</v>
      </c>
    </row>
    <row r="75" spans="1:25" x14ac:dyDescent="0.2">
      <c r="A75" s="119"/>
      <c r="B75" s="486" t="s">
        <v>117</v>
      </c>
      <c r="C75" s="487"/>
      <c r="D75" s="488"/>
      <c r="E75" s="120">
        <f>IF(OR(E$5=0,E74&gt;-0.001),0,(IF(E$5=6,0.5,1)))</f>
        <v>0</v>
      </c>
      <c r="F75" s="120">
        <f t="shared" ref="F75" si="200">IF(OR(F$5=0,F74&gt;-0.001),0,(IF(F$5=6,0.5,1)))</f>
        <v>0</v>
      </c>
      <c r="G75" s="120">
        <f t="shared" ref="G75" si="201">IF(OR(G$5=0,G74&gt;-0.001),0,(IF(G$5=6,0.5,1)))</f>
        <v>0</v>
      </c>
      <c r="H75" s="120">
        <f t="shared" ref="H75" si="202">IF(OR(H$5=0,H74&gt;-0.001),0,(IF(H$5=6,0.5,1)))</f>
        <v>0</v>
      </c>
      <c r="I75" s="120">
        <f t="shared" ref="I75" si="203">IF(OR(I$5=0,I74&gt;-0.001),0,(IF(I$5=6,0.5,1)))</f>
        <v>0</v>
      </c>
      <c r="J75" s="120">
        <f t="shared" ref="J75" si="204">IF(OR(J$5=0,J74&gt;-0.001),0,(IF(J$5=6,0.5,1)))</f>
        <v>0</v>
      </c>
      <c r="K75" s="120">
        <f t="shared" ref="K75" si="205">IF(OR(K$5=0,K74&gt;-0.001),0,(IF(K$5=6,0.5,1)))</f>
        <v>0</v>
      </c>
      <c r="L75" s="120">
        <f t="shared" ref="L75" si="206">IF(OR(L$5=0,L74&gt;-0.001),0,(IF(L$5=6,0.5,1)))</f>
        <v>0</v>
      </c>
      <c r="M75" s="120">
        <f t="shared" ref="M75" si="207">IF(OR(M$5=0,M74&gt;-0.001),0,(IF(M$5=6,0.5,1)))</f>
        <v>0</v>
      </c>
      <c r="N75" s="120">
        <f t="shared" ref="N75" si="208">IF(OR(N$5=0,N74&gt;-0.001),0,(IF(N$5=6,0.5,1)))</f>
        <v>0</v>
      </c>
      <c r="O75" s="120">
        <f t="shared" ref="O75" si="209">IF(OR(O$5=0,O74&gt;-0.001),0,(IF(O$5=6,0.5,1)))</f>
        <v>0</v>
      </c>
      <c r="P75" s="120">
        <f t="shared" ref="P75" si="210">IF(OR(P$5=0,P74&gt;-0.001),0,(IF(P$5=6,0.5,1)))</f>
        <v>0</v>
      </c>
      <c r="Q75" s="120">
        <f t="shared" ref="Q75" si="211">IF(OR(Q$5=0,Q74&gt;-0.001),0,(IF(Q$5=6,0.5,1)))</f>
        <v>0</v>
      </c>
      <c r="R75" s="120">
        <f t="shared" ref="R75" si="212">IF(OR(R$5=0,R74&gt;-0.001),0,(IF(R$5=6,0.5,1)))</f>
        <v>0</v>
      </c>
      <c r="S75" s="120">
        <f t="shared" ref="S75" si="213">IF(OR(S$5=0,S74&gt;-0.001),0,(IF(S$5=6,0.5,1)))</f>
        <v>0</v>
      </c>
      <c r="T75" s="120">
        <f t="shared" ref="T75" si="214">IF(OR(T$5=0,T74&gt;-0.001),0,(IF(T$5=6,0.5,1)))</f>
        <v>0</v>
      </c>
      <c r="U75" s="120">
        <f t="shared" ref="U75" si="215">IF(OR(U$5=0,U74&gt;-0.001),0,(IF(U$5=6,0.5,1)))</f>
        <v>0</v>
      </c>
      <c r="V75" s="120">
        <f t="shared" ref="V75" si="216">IF(OR(V$5=0,V74&gt;-0.001),0,(IF(V$5=6,0.5,1)))</f>
        <v>0</v>
      </c>
      <c r="W75" s="120">
        <f t="shared" ref="W75" si="217">IF(OR(W$5=0,W74&gt;-0.001),0,(IF(W$5=6,0.5,1)))</f>
        <v>0</v>
      </c>
      <c r="X75" s="120">
        <f t="shared" ref="X75" si="218">IF(OR(X$5=0,X74&gt;-0.001),0,(IF(X$5=6,0.5,1)))</f>
        <v>0</v>
      </c>
      <c r="Y75" s="120">
        <f t="shared" ref="Y75" si="219">IF(OR(Y$5=0,Y74&gt;-0.001),0,(IF(Y$5=6,0.5,1)))</f>
        <v>0</v>
      </c>
    </row>
    <row r="76" spans="1:25" x14ac:dyDescent="0.2">
      <c r="A76" s="1"/>
      <c r="B76" s="489" t="s">
        <v>185</v>
      </c>
      <c r="C76" s="490"/>
      <c r="D76" s="122">
        <f>SUM(E75:Y76)</f>
        <v>0</v>
      </c>
      <c r="E76" s="121"/>
      <c r="F76" s="121">
        <f>IF(AND(E75=0.5,F75=0),((-E74/(F74-E74)*(F$5/12))),0)</f>
        <v>0</v>
      </c>
      <c r="G76" s="121">
        <f>IF(AND(F75=1,G75=0),((-F74/(G74-F74)*(G$5/12))),0)</f>
        <v>0</v>
      </c>
      <c r="H76" s="121">
        <f t="shared" ref="H76" si="220">IF(AND(G75=1,H75=0),((-G74/(H74-G74)*(H$5/12))),0)</f>
        <v>0</v>
      </c>
      <c r="I76" s="121">
        <f t="shared" ref="I76" si="221">IF(AND(H75=1,I75=0),((-H74/(I74-H74)*(I$5/12))),0)</f>
        <v>0</v>
      </c>
      <c r="J76" s="121">
        <f t="shared" ref="J76" si="222">IF(AND(I75=1,J75=0),((-I74/(J74-I74)*(J$5/12))),0)</f>
        <v>0</v>
      </c>
      <c r="K76" s="121">
        <f t="shared" ref="K76" si="223">IF(AND(J75=1,K75=0),((-J74/(K74-J74)*(K$5/12))),0)</f>
        <v>0</v>
      </c>
      <c r="L76" s="121">
        <f t="shared" ref="L76" si="224">IF(AND(K75=1,L75=0),((-K74/(L74-K74)*(L$5/12))),0)</f>
        <v>0</v>
      </c>
      <c r="M76" s="121">
        <f t="shared" ref="M76" si="225">IF(AND(L75=1,M75=0),((-L74/(M74-L74)*(M$5/12))),0)</f>
        <v>0</v>
      </c>
      <c r="N76" s="121">
        <f t="shared" ref="N76" si="226">IF(AND(M75=1,N75=0),((-M74/(N74-M74)*(N$5/12))),0)</f>
        <v>0</v>
      </c>
      <c r="O76" s="121">
        <f t="shared" ref="O76" si="227">IF(AND(N75=1,O75=0),((-N74/(O74-N74)*(O$5/12))),0)</f>
        <v>0</v>
      </c>
      <c r="P76" s="121">
        <f t="shared" ref="P76" si="228">IF(AND(O75=1,P75=0),((-O74/(P74-O74)*(P$5/12))),0)</f>
        <v>0</v>
      </c>
      <c r="Q76" s="121">
        <f t="shared" ref="Q76" si="229">IF(AND(P75=1,Q75=0),((-P74/(Q74-P74)*(Q$5/12))),0)</f>
        <v>0</v>
      </c>
      <c r="R76" s="121">
        <f t="shared" ref="R76" si="230">IF(AND(Q75=1,R75=0),((-Q74/(R74-Q74)*(R$5/12))),0)</f>
        <v>0</v>
      </c>
      <c r="S76" s="121">
        <f t="shared" ref="S76" si="231">IF(AND(R75=1,S75=0),((-R74/(S74-R74)*(S$5/12))),0)</f>
        <v>0</v>
      </c>
      <c r="T76" s="121">
        <f t="shared" ref="T76" si="232">IF(AND(S75=1,T75=0),((-S74/(T74-S74)*(T$5/12))),0)</f>
        <v>0</v>
      </c>
      <c r="U76" s="121">
        <f t="shared" ref="U76" si="233">IF(AND(T75=1,U75=0),((-T74/(U74-T74)*(U$5/12))),0)</f>
        <v>0</v>
      </c>
      <c r="V76" s="121">
        <f t="shared" ref="V76" si="234">IF(AND(U75=1,V75=0),((-U74/(V74-U74)*(V$5/12))),0)</f>
        <v>0</v>
      </c>
      <c r="W76" s="121">
        <f t="shared" ref="W76" si="235">IF(AND(V75=1,W75=0),((-V74/(W74-V74)*(W$5/12))),0)</f>
        <v>0</v>
      </c>
      <c r="X76" s="121">
        <f t="shared" ref="X76" si="236">IF(AND(W75=1,X75=0),((-W74/(X74-W74)*(X$5/12))),0)</f>
        <v>0</v>
      </c>
      <c r="Y76" s="121">
        <f t="shared" ref="Y76" si="237">IF(AND(X75=1,Y75=0),((-X74/(Y74-X74)*(Y$5/12))),0)</f>
        <v>0</v>
      </c>
    </row>
    <row r="77" spans="1:25" x14ac:dyDescent="0.2">
      <c r="A77" s="113"/>
      <c r="B77" s="491"/>
      <c r="C77" s="492"/>
      <c r="D77" s="114">
        <f>Required_ROR-4%</f>
        <v>1.9999999999999997E-2</v>
      </c>
      <c r="E77" s="115">
        <f>(1/(1+$D77)^E$60)*E$32</f>
        <v>-0.38300000000000001</v>
      </c>
      <c r="F77" s="115">
        <f t="shared" si="180"/>
        <v>0</v>
      </c>
      <c r="G77" s="115">
        <f t="shared" si="180"/>
        <v>0</v>
      </c>
      <c r="H77" s="115">
        <f t="shared" si="180"/>
        <v>0</v>
      </c>
      <c r="I77" s="115">
        <f t="shared" si="180"/>
        <v>0</v>
      </c>
      <c r="J77" s="115">
        <f t="shared" si="180"/>
        <v>0</v>
      </c>
      <c r="K77" s="115">
        <f t="shared" si="180"/>
        <v>0</v>
      </c>
      <c r="L77" s="115">
        <f t="shared" si="180"/>
        <v>0</v>
      </c>
      <c r="M77" s="115">
        <f t="shared" si="180"/>
        <v>0</v>
      </c>
      <c r="N77" s="115">
        <f t="shared" si="180"/>
        <v>0</v>
      </c>
      <c r="O77" s="115">
        <f t="shared" si="180"/>
        <v>0</v>
      </c>
      <c r="P77" s="115">
        <f t="shared" si="180"/>
        <v>0</v>
      </c>
      <c r="Q77" s="115">
        <f t="shared" si="180"/>
        <v>0</v>
      </c>
      <c r="R77" s="115">
        <f t="shared" si="180"/>
        <v>0</v>
      </c>
      <c r="S77" s="115">
        <f t="shared" si="180"/>
        <v>0</v>
      </c>
      <c r="T77" s="115">
        <f t="shared" si="180"/>
        <v>0</v>
      </c>
      <c r="U77" s="115">
        <f t="shared" si="180"/>
        <v>0</v>
      </c>
      <c r="V77" s="115">
        <f t="shared" si="180"/>
        <v>0</v>
      </c>
      <c r="W77" s="115">
        <f t="shared" si="180"/>
        <v>0</v>
      </c>
      <c r="X77" s="115">
        <f t="shared" si="180"/>
        <v>0</v>
      </c>
      <c r="Y77" s="115">
        <f t="shared" si="180"/>
        <v>0</v>
      </c>
    </row>
    <row r="78" spans="1:25" x14ac:dyDescent="0.2">
      <c r="A78" s="1"/>
      <c r="B78" s="110"/>
      <c r="C78" s="111"/>
      <c r="D78" s="109"/>
      <c r="E78" s="112">
        <f>E77</f>
        <v>-0.38300000000000001</v>
      </c>
      <c r="F78" s="112">
        <f>E78+F77</f>
        <v>-0.38300000000000001</v>
      </c>
      <c r="G78" s="112">
        <f t="shared" ref="G78" si="238">F78+G77</f>
        <v>-0.38300000000000001</v>
      </c>
      <c r="H78" s="112">
        <f t="shared" ref="H78" si="239">G78+H77</f>
        <v>-0.38300000000000001</v>
      </c>
      <c r="I78" s="112">
        <f t="shared" ref="I78" si="240">H78+I77</f>
        <v>-0.38300000000000001</v>
      </c>
      <c r="J78" s="112">
        <f t="shared" ref="J78" si="241">I78+J77</f>
        <v>-0.38300000000000001</v>
      </c>
      <c r="K78" s="112">
        <f t="shared" ref="K78" si="242">J78+K77</f>
        <v>-0.38300000000000001</v>
      </c>
      <c r="L78" s="112">
        <f t="shared" ref="L78" si="243">K78+L77</f>
        <v>-0.38300000000000001</v>
      </c>
      <c r="M78" s="112">
        <f t="shared" ref="M78" si="244">L78+M77</f>
        <v>-0.38300000000000001</v>
      </c>
      <c r="N78" s="112">
        <f t="shared" ref="N78" si="245">M78+N77</f>
        <v>-0.38300000000000001</v>
      </c>
      <c r="O78" s="112">
        <f t="shared" ref="O78" si="246">N78+O77</f>
        <v>-0.38300000000000001</v>
      </c>
      <c r="P78" s="112">
        <f t="shared" ref="P78" si="247">O78+P77</f>
        <v>-0.38300000000000001</v>
      </c>
      <c r="Q78" s="112">
        <f t="shared" ref="Q78" si="248">P78+Q77</f>
        <v>-0.38300000000000001</v>
      </c>
      <c r="R78" s="112">
        <f t="shared" ref="R78" si="249">Q78+R77</f>
        <v>-0.38300000000000001</v>
      </c>
      <c r="S78" s="112">
        <f t="shared" ref="S78" si="250">R78+S77</f>
        <v>-0.38300000000000001</v>
      </c>
      <c r="T78" s="112">
        <f t="shared" ref="T78" si="251">S78+T77</f>
        <v>-0.38300000000000001</v>
      </c>
      <c r="U78" s="112">
        <f t="shared" ref="U78" si="252">T78+U77</f>
        <v>-0.38300000000000001</v>
      </c>
      <c r="V78" s="112">
        <f t="shared" ref="V78" si="253">U78+V77</f>
        <v>-0.38300000000000001</v>
      </c>
      <c r="W78" s="112">
        <f t="shared" ref="W78" si="254">V78+W77</f>
        <v>-0.38300000000000001</v>
      </c>
      <c r="X78" s="112">
        <f t="shared" ref="X78" si="255">W78+X77</f>
        <v>-0.38300000000000001</v>
      </c>
      <c r="Y78" s="112">
        <f t="shared" ref="Y78" si="256">X78+Y77</f>
        <v>-0.38300000000000001</v>
      </c>
    </row>
    <row r="79" spans="1:25" x14ac:dyDescent="0.2">
      <c r="A79" s="119"/>
      <c r="B79" s="486" t="s">
        <v>117</v>
      </c>
      <c r="C79" s="487"/>
      <c r="D79" s="488"/>
      <c r="E79" s="120">
        <f>IF(OR(E$5=0,E78&gt;-0.001),0,(IF(E$5=6,0.5,1)))</f>
        <v>0</v>
      </c>
      <c r="F79" s="120">
        <f t="shared" ref="F79" si="257">IF(OR(F$5=0,F78&gt;-0.001),0,(IF(F$5=6,0.5,1)))</f>
        <v>0</v>
      </c>
      <c r="G79" s="120">
        <f t="shared" ref="G79" si="258">IF(OR(G$5=0,G78&gt;-0.001),0,(IF(G$5=6,0.5,1)))</f>
        <v>0</v>
      </c>
      <c r="H79" s="120">
        <f t="shared" ref="H79" si="259">IF(OR(H$5=0,H78&gt;-0.001),0,(IF(H$5=6,0.5,1)))</f>
        <v>0</v>
      </c>
      <c r="I79" s="120">
        <f t="shared" ref="I79" si="260">IF(OR(I$5=0,I78&gt;-0.001),0,(IF(I$5=6,0.5,1)))</f>
        <v>0</v>
      </c>
      <c r="J79" s="120">
        <f t="shared" ref="J79" si="261">IF(OR(J$5=0,J78&gt;-0.001),0,(IF(J$5=6,0.5,1)))</f>
        <v>0</v>
      </c>
      <c r="K79" s="120">
        <f t="shared" ref="K79" si="262">IF(OR(K$5=0,K78&gt;-0.001),0,(IF(K$5=6,0.5,1)))</f>
        <v>0</v>
      </c>
      <c r="L79" s="120">
        <f t="shared" ref="L79" si="263">IF(OR(L$5=0,L78&gt;-0.001),0,(IF(L$5=6,0.5,1)))</f>
        <v>0</v>
      </c>
      <c r="M79" s="120">
        <f t="shared" ref="M79" si="264">IF(OR(M$5=0,M78&gt;-0.001),0,(IF(M$5=6,0.5,1)))</f>
        <v>0</v>
      </c>
      <c r="N79" s="120">
        <f t="shared" ref="N79" si="265">IF(OR(N$5=0,N78&gt;-0.001),0,(IF(N$5=6,0.5,1)))</f>
        <v>0</v>
      </c>
      <c r="O79" s="120">
        <f t="shared" ref="O79" si="266">IF(OR(O$5=0,O78&gt;-0.001),0,(IF(O$5=6,0.5,1)))</f>
        <v>0</v>
      </c>
      <c r="P79" s="120">
        <f t="shared" ref="P79" si="267">IF(OR(P$5=0,P78&gt;-0.001),0,(IF(P$5=6,0.5,1)))</f>
        <v>0</v>
      </c>
      <c r="Q79" s="120">
        <f t="shared" ref="Q79" si="268">IF(OR(Q$5=0,Q78&gt;-0.001),0,(IF(Q$5=6,0.5,1)))</f>
        <v>0</v>
      </c>
      <c r="R79" s="120">
        <f t="shared" ref="R79" si="269">IF(OR(R$5=0,R78&gt;-0.001),0,(IF(R$5=6,0.5,1)))</f>
        <v>0</v>
      </c>
      <c r="S79" s="120">
        <f t="shared" ref="S79" si="270">IF(OR(S$5=0,S78&gt;-0.001),0,(IF(S$5=6,0.5,1)))</f>
        <v>0</v>
      </c>
      <c r="T79" s="120">
        <f t="shared" ref="T79" si="271">IF(OR(T$5=0,T78&gt;-0.001),0,(IF(T$5=6,0.5,1)))</f>
        <v>0</v>
      </c>
      <c r="U79" s="120">
        <f t="shared" ref="U79" si="272">IF(OR(U$5=0,U78&gt;-0.001),0,(IF(U$5=6,0.5,1)))</f>
        <v>0</v>
      </c>
      <c r="V79" s="120">
        <f t="shared" ref="V79" si="273">IF(OR(V$5=0,V78&gt;-0.001),0,(IF(V$5=6,0.5,1)))</f>
        <v>0</v>
      </c>
      <c r="W79" s="120">
        <f t="shared" ref="W79" si="274">IF(OR(W$5=0,W78&gt;-0.001),0,(IF(W$5=6,0.5,1)))</f>
        <v>0</v>
      </c>
      <c r="X79" s="120">
        <f t="shared" ref="X79" si="275">IF(OR(X$5=0,X78&gt;-0.001),0,(IF(X$5=6,0.5,1)))</f>
        <v>0</v>
      </c>
      <c r="Y79" s="120">
        <f t="shared" ref="Y79" si="276">IF(OR(Y$5=0,Y78&gt;-0.001),0,(IF(Y$5=6,0.5,1)))</f>
        <v>0</v>
      </c>
    </row>
    <row r="80" spans="1:25" x14ac:dyDescent="0.2">
      <c r="A80" s="1"/>
      <c r="B80" s="489" t="s">
        <v>185</v>
      </c>
      <c r="C80" s="490"/>
      <c r="D80" s="122">
        <f>SUM(E79:Y80)</f>
        <v>0</v>
      </c>
      <c r="E80" s="121"/>
      <c r="F80" s="121">
        <f>IF(AND(E79=0.5,F79=0),((-E78/(F78-E78)*(F$5/12))),0)</f>
        <v>0</v>
      </c>
      <c r="G80" s="121">
        <f>IF(AND(F79=1,G79=0),((-F78/(G78-F78)*(G$5/12))),0)</f>
        <v>0</v>
      </c>
      <c r="H80" s="121">
        <f t="shared" ref="H80" si="277">IF(AND(G79=1,H79=0),((-G78/(H78-G78)*(H$5/12))),0)</f>
        <v>0</v>
      </c>
      <c r="I80" s="121">
        <f t="shared" ref="I80" si="278">IF(AND(H79=1,I79=0),((-H78/(I78-H78)*(I$5/12))),0)</f>
        <v>0</v>
      </c>
      <c r="J80" s="121">
        <f t="shared" ref="J80" si="279">IF(AND(I79=1,J79=0),((-I78/(J78-I78)*(J$5/12))),0)</f>
        <v>0</v>
      </c>
      <c r="K80" s="121">
        <f t="shared" ref="K80" si="280">IF(AND(J79=1,K79=0),((-J78/(K78-J78)*(K$5/12))),0)</f>
        <v>0</v>
      </c>
      <c r="L80" s="121">
        <f t="shared" ref="L80" si="281">IF(AND(K79=1,L79=0),((-K78/(L78-K78)*(L$5/12))),0)</f>
        <v>0</v>
      </c>
      <c r="M80" s="121">
        <f t="shared" ref="M80" si="282">IF(AND(L79=1,M79=0),((-L78/(M78-L78)*(M$5/12))),0)</f>
        <v>0</v>
      </c>
      <c r="N80" s="121">
        <f t="shared" ref="N80" si="283">IF(AND(M79=1,N79=0),((-M78/(N78-M78)*(N$5/12))),0)</f>
        <v>0</v>
      </c>
      <c r="O80" s="121">
        <f t="shared" ref="O80" si="284">IF(AND(N79=1,O79=0),((-N78/(O78-N78)*(O$5/12))),0)</f>
        <v>0</v>
      </c>
      <c r="P80" s="121">
        <f t="shared" ref="P80" si="285">IF(AND(O79=1,P79=0),((-O78/(P78-O78)*(P$5/12))),0)</f>
        <v>0</v>
      </c>
      <c r="Q80" s="121">
        <f t="shared" ref="Q80" si="286">IF(AND(P79=1,Q79=0),((-P78/(Q78-P78)*(Q$5/12))),0)</f>
        <v>0</v>
      </c>
      <c r="R80" s="121">
        <f t="shared" ref="R80" si="287">IF(AND(Q79=1,R79=0),((-Q78/(R78-Q78)*(R$5/12))),0)</f>
        <v>0</v>
      </c>
      <c r="S80" s="121">
        <f t="shared" ref="S80" si="288">IF(AND(R79=1,S79=0),((-R78/(S78-R78)*(S$5/12))),0)</f>
        <v>0</v>
      </c>
      <c r="T80" s="121">
        <f t="shared" ref="T80" si="289">IF(AND(S79=1,T79=0),((-S78/(T78-S78)*(T$5/12))),0)</f>
        <v>0</v>
      </c>
      <c r="U80" s="121">
        <f t="shared" ref="U80" si="290">IF(AND(T79=1,U79=0),((-T78/(U78-T78)*(U$5/12))),0)</f>
        <v>0</v>
      </c>
      <c r="V80" s="121">
        <f t="shared" ref="V80" si="291">IF(AND(U79=1,V79=0),((-U78/(V78-U78)*(V$5/12))),0)</f>
        <v>0</v>
      </c>
      <c r="W80" s="121">
        <f t="shared" ref="W80" si="292">IF(AND(V79=1,W79=0),((-V78/(W78-V78)*(W$5/12))),0)</f>
        <v>0</v>
      </c>
      <c r="X80" s="121">
        <f t="shared" ref="X80" si="293">IF(AND(W79=1,X79=0),((-W78/(X78-W78)*(X$5/12))),0)</f>
        <v>0</v>
      </c>
      <c r="Y80" s="121">
        <f t="shared" ref="Y80" si="294">IF(AND(X79=1,Y79=0),((-X78/(Y78-X78)*(Y$5/12))),0)</f>
        <v>0</v>
      </c>
    </row>
    <row r="81" spans="1:25" x14ac:dyDescent="0.2">
      <c r="A81" s="1"/>
      <c r="B81" s="489"/>
      <c r="C81" s="493"/>
      <c r="D81" s="109">
        <f>0</f>
        <v>0</v>
      </c>
      <c r="E81" s="112">
        <f>(1/(1+$D$81)^E$60)*E$32</f>
        <v>-0.38300000000000001</v>
      </c>
      <c r="F81" s="112">
        <f t="shared" ref="F81:Y81" si="295">(1/(1+$D$81)^F$60)*F$32</f>
        <v>0</v>
      </c>
      <c r="G81" s="112">
        <f t="shared" si="295"/>
        <v>0</v>
      </c>
      <c r="H81" s="112">
        <f t="shared" si="295"/>
        <v>0</v>
      </c>
      <c r="I81" s="112">
        <f t="shared" si="295"/>
        <v>0</v>
      </c>
      <c r="J81" s="112">
        <f t="shared" si="295"/>
        <v>0</v>
      </c>
      <c r="K81" s="112">
        <f t="shared" si="295"/>
        <v>0</v>
      </c>
      <c r="L81" s="112">
        <f t="shared" si="295"/>
        <v>0</v>
      </c>
      <c r="M81" s="112">
        <f t="shared" si="295"/>
        <v>0</v>
      </c>
      <c r="N81" s="112">
        <f t="shared" si="295"/>
        <v>0</v>
      </c>
      <c r="O81" s="112">
        <f t="shared" si="295"/>
        <v>0</v>
      </c>
      <c r="P81" s="112">
        <f t="shared" si="295"/>
        <v>0</v>
      </c>
      <c r="Q81" s="112">
        <f t="shared" si="295"/>
        <v>0</v>
      </c>
      <c r="R81" s="112">
        <f t="shared" si="295"/>
        <v>0</v>
      </c>
      <c r="S81" s="112">
        <f t="shared" si="295"/>
        <v>0</v>
      </c>
      <c r="T81" s="112">
        <f t="shared" si="295"/>
        <v>0</v>
      </c>
      <c r="U81" s="112">
        <f t="shared" si="295"/>
        <v>0</v>
      </c>
      <c r="V81" s="112">
        <f t="shared" si="295"/>
        <v>0</v>
      </c>
      <c r="W81" s="112">
        <f t="shared" si="295"/>
        <v>0</v>
      </c>
      <c r="X81" s="112">
        <f t="shared" si="295"/>
        <v>0</v>
      </c>
      <c r="Y81" s="112">
        <f t="shared" si="295"/>
        <v>0</v>
      </c>
    </row>
    <row r="82" spans="1:25" x14ac:dyDescent="0.2">
      <c r="A82" s="113"/>
      <c r="B82" s="116"/>
      <c r="C82" s="117"/>
      <c r="D82" s="114"/>
      <c r="E82" s="115">
        <f>E81</f>
        <v>-0.38300000000000001</v>
      </c>
      <c r="F82" s="115">
        <f>E82+F81</f>
        <v>-0.38300000000000001</v>
      </c>
      <c r="G82" s="115">
        <f t="shared" ref="G82" si="296">F82+G81</f>
        <v>-0.38300000000000001</v>
      </c>
      <c r="H82" s="115">
        <f t="shared" ref="H82" si="297">G82+H81</f>
        <v>-0.38300000000000001</v>
      </c>
      <c r="I82" s="115">
        <f t="shared" ref="I82" si="298">H82+I81</f>
        <v>-0.38300000000000001</v>
      </c>
      <c r="J82" s="115">
        <f t="shared" ref="J82" si="299">I82+J81</f>
        <v>-0.38300000000000001</v>
      </c>
      <c r="K82" s="115">
        <f t="shared" ref="K82" si="300">J82+K81</f>
        <v>-0.38300000000000001</v>
      </c>
      <c r="L82" s="115">
        <f t="shared" ref="L82" si="301">K82+L81</f>
        <v>-0.38300000000000001</v>
      </c>
      <c r="M82" s="115">
        <f t="shared" ref="M82" si="302">L82+M81</f>
        <v>-0.38300000000000001</v>
      </c>
      <c r="N82" s="115">
        <f t="shared" ref="N82" si="303">M82+N81</f>
        <v>-0.38300000000000001</v>
      </c>
      <c r="O82" s="115">
        <f t="shared" ref="O82" si="304">N82+O81</f>
        <v>-0.38300000000000001</v>
      </c>
      <c r="P82" s="115">
        <f t="shared" ref="P82" si="305">O82+P81</f>
        <v>-0.38300000000000001</v>
      </c>
      <c r="Q82" s="115">
        <f t="shared" ref="Q82" si="306">P82+Q81</f>
        <v>-0.38300000000000001</v>
      </c>
      <c r="R82" s="115">
        <f t="shared" ref="R82" si="307">Q82+R81</f>
        <v>-0.38300000000000001</v>
      </c>
      <c r="S82" s="115">
        <f t="shared" ref="S82" si="308">R82+S81</f>
        <v>-0.38300000000000001</v>
      </c>
      <c r="T82" s="115">
        <f t="shared" ref="T82" si="309">S82+T81</f>
        <v>-0.38300000000000001</v>
      </c>
      <c r="U82" s="115">
        <f t="shared" ref="U82" si="310">T82+U81</f>
        <v>-0.38300000000000001</v>
      </c>
      <c r="V82" s="115">
        <f t="shared" ref="V82" si="311">U82+V81</f>
        <v>-0.38300000000000001</v>
      </c>
      <c r="W82" s="115">
        <f t="shared" ref="W82" si="312">V82+W81</f>
        <v>-0.38300000000000001</v>
      </c>
      <c r="X82" s="115">
        <f t="shared" ref="X82" si="313">W82+X81</f>
        <v>-0.38300000000000001</v>
      </c>
      <c r="Y82" s="115">
        <f t="shared" ref="Y82" si="314">X82+Y81</f>
        <v>-0.38300000000000001</v>
      </c>
    </row>
    <row r="83" spans="1:25" x14ac:dyDescent="0.2">
      <c r="A83" s="119"/>
      <c r="B83" s="486" t="s">
        <v>117</v>
      </c>
      <c r="C83" s="487"/>
      <c r="D83" s="488"/>
      <c r="E83" s="120">
        <f>IF(OR(E$5=0,E82&gt;-0.001),0,(IF(E$5=6,0.5,1)))</f>
        <v>0</v>
      </c>
      <c r="F83" s="120">
        <f t="shared" ref="F83" si="315">IF(OR(F$5=0,F82&gt;-0.001),0,(IF(F$5=6,0.5,1)))</f>
        <v>0</v>
      </c>
      <c r="G83" s="120">
        <f t="shared" ref="G83" si="316">IF(OR(G$5=0,G82&gt;-0.001),0,(IF(G$5=6,0.5,1)))</f>
        <v>0</v>
      </c>
      <c r="H83" s="120">
        <f t="shared" ref="H83" si="317">IF(OR(H$5=0,H82&gt;-0.001),0,(IF(H$5=6,0.5,1)))</f>
        <v>0</v>
      </c>
      <c r="I83" s="120">
        <f t="shared" ref="I83" si="318">IF(OR(I$5=0,I82&gt;-0.001),0,(IF(I$5=6,0.5,1)))</f>
        <v>0</v>
      </c>
      <c r="J83" s="120">
        <f t="shared" ref="J83" si="319">IF(OR(J$5=0,J82&gt;-0.001),0,(IF(J$5=6,0.5,1)))</f>
        <v>0</v>
      </c>
      <c r="K83" s="120">
        <f t="shared" ref="K83" si="320">IF(OR(K$5=0,K82&gt;-0.001),0,(IF(K$5=6,0.5,1)))</f>
        <v>0</v>
      </c>
      <c r="L83" s="120">
        <f t="shared" ref="L83" si="321">IF(OR(L$5=0,L82&gt;-0.001),0,(IF(L$5=6,0.5,1)))</f>
        <v>0</v>
      </c>
      <c r="M83" s="120">
        <f t="shared" ref="M83" si="322">IF(OR(M$5=0,M82&gt;-0.001),0,(IF(M$5=6,0.5,1)))</f>
        <v>0</v>
      </c>
      <c r="N83" s="120">
        <f t="shared" ref="N83" si="323">IF(OR(N$5=0,N82&gt;-0.001),0,(IF(N$5=6,0.5,1)))</f>
        <v>0</v>
      </c>
      <c r="O83" s="120">
        <f t="shared" ref="O83" si="324">IF(OR(O$5=0,O82&gt;-0.001),0,(IF(O$5=6,0.5,1)))</f>
        <v>0</v>
      </c>
      <c r="P83" s="120">
        <f t="shared" ref="P83" si="325">IF(OR(P$5=0,P82&gt;-0.001),0,(IF(P$5=6,0.5,1)))</f>
        <v>0</v>
      </c>
      <c r="Q83" s="120">
        <f t="shared" ref="Q83" si="326">IF(OR(Q$5=0,Q82&gt;-0.001),0,(IF(Q$5=6,0.5,1)))</f>
        <v>0</v>
      </c>
      <c r="R83" s="120">
        <f t="shared" ref="R83" si="327">IF(OR(R$5=0,R82&gt;-0.001),0,(IF(R$5=6,0.5,1)))</f>
        <v>0</v>
      </c>
      <c r="S83" s="120">
        <f t="shared" ref="S83" si="328">IF(OR(S$5=0,S82&gt;-0.001),0,(IF(S$5=6,0.5,1)))</f>
        <v>0</v>
      </c>
      <c r="T83" s="120">
        <f t="shared" ref="T83" si="329">IF(OR(T$5=0,T82&gt;-0.001),0,(IF(T$5=6,0.5,1)))</f>
        <v>0</v>
      </c>
      <c r="U83" s="120">
        <f t="shared" ref="U83" si="330">IF(OR(U$5=0,U82&gt;-0.001),0,(IF(U$5=6,0.5,1)))</f>
        <v>0</v>
      </c>
      <c r="V83" s="120">
        <f t="shared" ref="V83" si="331">IF(OR(V$5=0,V82&gt;-0.001),0,(IF(V$5=6,0.5,1)))</f>
        <v>0</v>
      </c>
      <c r="W83" s="120">
        <f t="shared" ref="W83" si="332">IF(OR(W$5=0,W82&gt;-0.001),0,(IF(W$5=6,0.5,1)))</f>
        <v>0</v>
      </c>
      <c r="X83" s="120">
        <f t="shared" ref="X83" si="333">IF(OR(X$5=0,X82&gt;-0.001),0,(IF(X$5=6,0.5,1)))</f>
        <v>0</v>
      </c>
      <c r="Y83" s="120">
        <f t="shared" ref="Y83" si="334">IF(OR(Y$5=0,Y82&gt;-0.001),0,(IF(Y$5=6,0.5,1)))</f>
        <v>0</v>
      </c>
    </row>
    <row r="84" spans="1:25" x14ac:dyDescent="0.2">
      <c r="A84" s="1"/>
      <c r="B84" s="489" t="s">
        <v>185</v>
      </c>
      <c r="C84" s="490"/>
      <c r="D84" s="122">
        <f>SUM(E83:Y84)</f>
        <v>0</v>
      </c>
      <c r="E84" s="121"/>
      <c r="F84" s="121">
        <f>IF(AND(E83=0.5,F83=0),((-E82/(F82-E82)*(F$5/12))),0)</f>
        <v>0</v>
      </c>
      <c r="G84" s="121">
        <f>IF(AND(F83=1,G83=0),((-F82/(G82-F82)*(G$5/12))),0)</f>
        <v>0</v>
      </c>
      <c r="H84" s="121">
        <f t="shared" ref="H84" si="335">IF(AND(G83=1,H83=0),((-G82/(H82-G82)*(H$5/12))),0)</f>
        <v>0</v>
      </c>
      <c r="I84" s="121">
        <f t="shared" ref="I84" si="336">IF(AND(H83=1,I83=0),((-H82/(I82-H82)*(I$5/12))),0)</f>
        <v>0</v>
      </c>
      <c r="J84" s="121">
        <f t="shared" ref="J84" si="337">IF(AND(I83=1,J83=0),((-I82/(J82-I82)*(J$5/12))),0)</f>
        <v>0</v>
      </c>
      <c r="K84" s="121">
        <f t="shared" ref="K84" si="338">IF(AND(J83=1,K83=0),((-J82/(K82-J82)*(K$5/12))),0)</f>
        <v>0</v>
      </c>
      <c r="L84" s="121">
        <f t="shared" ref="L84" si="339">IF(AND(K83=1,L83=0),((-K82/(L82-K82)*(L$5/12))),0)</f>
        <v>0</v>
      </c>
      <c r="M84" s="121">
        <f t="shared" ref="M84" si="340">IF(AND(L83=1,M83=0),((-L82/(M82-L82)*(M$5/12))),0)</f>
        <v>0</v>
      </c>
      <c r="N84" s="121">
        <f t="shared" ref="N84" si="341">IF(AND(M83=1,N83=0),((-M82/(N82-M82)*(N$5/12))),0)</f>
        <v>0</v>
      </c>
      <c r="O84" s="121">
        <f t="shared" ref="O84" si="342">IF(AND(N83=1,O83=0),((-N82/(O82-N82)*(O$5/12))),0)</f>
        <v>0</v>
      </c>
      <c r="P84" s="121">
        <f t="shared" ref="P84" si="343">IF(AND(O83=1,P83=0),((-O82/(P82-O82)*(P$5/12))),0)</f>
        <v>0</v>
      </c>
      <c r="Q84" s="121">
        <f t="shared" ref="Q84" si="344">IF(AND(P83=1,Q83=0),((-P82/(Q82-P82)*(Q$5/12))),0)</f>
        <v>0</v>
      </c>
      <c r="R84" s="121">
        <f t="shared" ref="R84" si="345">IF(AND(Q83=1,R83=0),((-Q82/(R82-Q82)*(R$5/12))),0)</f>
        <v>0</v>
      </c>
      <c r="S84" s="121">
        <f t="shared" ref="S84" si="346">IF(AND(R83=1,S83=0),((-R82/(S82-R82)*(S$5/12))),0)</f>
        <v>0</v>
      </c>
      <c r="T84" s="121">
        <f t="shared" ref="T84" si="347">IF(AND(S83=1,T83=0),((-S82/(T82-S82)*(T$5/12))),0)</f>
        <v>0</v>
      </c>
      <c r="U84" s="121">
        <f t="shared" ref="U84" si="348">IF(AND(T83=1,U83=0),((-T82/(U82-T82)*(U$5/12))),0)</f>
        <v>0</v>
      </c>
      <c r="V84" s="121">
        <f t="shared" ref="V84" si="349">IF(AND(U83=1,V83=0),((-U82/(V82-U82)*(V$5/12))),0)</f>
        <v>0</v>
      </c>
      <c r="W84" s="121">
        <f t="shared" ref="W84" si="350">IF(AND(V83=1,W83=0),((-V82/(W82-V82)*(W$5/12))),0)</f>
        <v>0</v>
      </c>
      <c r="X84" s="121">
        <f t="shared" ref="X84" si="351">IF(AND(W83=1,X83=0),((-W82/(X82-W82)*(X$5/12))),0)</f>
        <v>0</v>
      </c>
      <c r="Y84" s="121">
        <f t="shared" ref="Y84" si="352">IF(AND(X83=1,Y83=0),((-X82/(Y82-X82)*(Y$5/12))),0)</f>
        <v>0</v>
      </c>
    </row>
    <row r="86" spans="1:25" x14ac:dyDescent="0.2">
      <c r="B86" s="8" t="s">
        <v>186</v>
      </c>
      <c r="C86" s="8" t="s">
        <v>187</v>
      </c>
    </row>
    <row r="87" spans="1:25" x14ac:dyDescent="0.2">
      <c r="B87" s="123">
        <f>D61</f>
        <v>0.1</v>
      </c>
      <c r="C87" s="124">
        <f>D64</f>
        <v>0</v>
      </c>
    </row>
    <row r="88" spans="1:25" x14ac:dyDescent="0.2">
      <c r="B88" s="123">
        <f>D65</f>
        <v>0.08</v>
      </c>
      <c r="C88" s="124">
        <f>D68</f>
        <v>0</v>
      </c>
    </row>
    <row r="89" spans="1:25" x14ac:dyDescent="0.2">
      <c r="B89" s="123">
        <f>D69</f>
        <v>0.06</v>
      </c>
      <c r="C89" s="124">
        <f>D72</f>
        <v>0</v>
      </c>
    </row>
    <row r="90" spans="1:25" x14ac:dyDescent="0.2">
      <c r="B90" s="123">
        <f>D73</f>
        <v>3.9999999999999994E-2</v>
      </c>
      <c r="C90" s="124">
        <f>D76</f>
        <v>0</v>
      </c>
    </row>
    <row r="91" spans="1:25" x14ac:dyDescent="0.2">
      <c r="B91" s="123">
        <f>D77</f>
        <v>1.9999999999999997E-2</v>
      </c>
      <c r="C91" s="124">
        <f>D80</f>
        <v>0</v>
      </c>
    </row>
    <row r="92" spans="1:25" x14ac:dyDescent="0.2">
      <c r="B92" s="123">
        <f>D81</f>
        <v>0</v>
      </c>
      <c r="C92" s="124">
        <f>D84</f>
        <v>0</v>
      </c>
    </row>
  </sheetData>
  <mergeCells count="65">
    <mergeCell ref="B38:D38"/>
    <mergeCell ref="B10:D10"/>
    <mergeCell ref="B11:D11"/>
    <mergeCell ref="B26:D26"/>
    <mergeCell ref="B27:D27"/>
    <mergeCell ref="B28:D28"/>
    <mergeCell ref="B25:D25"/>
    <mergeCell ref="B29:D29"/>
    <mergeCell ref="B30:D30"/>
    <mergeCell ref="B32:C32"/>
    <mergeCell ref="B33:C33"/>
    <mergeCell ref="B34:C34"/>
    <mergeCell ref="A13:D13"/>
    <mergeCell ref="B14:D14"/>
    <mergeCell ref="B23:D23"/>
    <mergeCell ref="B24:D24"/>
    <mergeCell ref="B21:D21"/>
    <mergeCell ref="B22:D22"/>
    <mergeCell ref="A4:D4"/>
    <mergeCell ref="A5:D5"/>
    <mergeCell ref="B12:D12"/>
    <mergeCell ref="B8:D8"/>
    <mergeCell ref="B9:D9"/>
    <mergeCell ref="A7:D7"/>
    <mergeCell ref="A16:D16"/>
    <mergeCell ref="B17:D17"/>
    <mergeCell ref="B18:D18"/>
    <mergeCell ref="B19:D19"/>
    <mergeCell ref="B20:D20"/>
    <mergeCell ref="A52:D52"/>
    <mergeCell ref="B53:D53"/>
    <mergeCell ref="B54:D54"/>
    <mergeCell ref="B55:D55"/>
    <mergeCell ref="B35:C35"/>
    <mergeCell ref="B39:D39"/>
    <mergeCell ref="A37:D37"/>
    <mergeCell ref="B50:D50"/>
    <mergeCell ref="B47:D47"/>
    <mergeCell ref="B44:D44"/>
    <mergeCell ref="B45:D45"/>
    <mergeCell ref="B46:D46"/>
    <mergeCell ref="B48:D48"/>
    <mergeCell ref="B49:D49"/>
    <mergeCell ref="A41:C41"/>
    <mergeCell ref="A43:D43"/>
    <mergeCell ref="A60:D60"/>
    <mergeCell ref="B61:C61"/>
    <mergeCell ref="B65:C65"/>
    <mergeCell ref="B73:C73"/>
    <mergeCell ref="C56:D56"/>
    <mergeCell ref="C57:D57"/>
    <mergeCell ref="B83:D83"/>
    <mergeCell ref="B84:C84"/>
    <mergeCell ref="B77:C77"/>
    <mergeCell ref="B81:C81"/>
    <mergeCell ref="B63:D63"/>
    <mergeCell ref="B64:C64"/>
    <mergeCell ref="B67:D67"/>
    <mergeCell ref="B68:C68"/>
    <mergeCell ref="B71:D71"/>
    <mergeCell ref="B72:C72"/>
    <mergeCell ref="B75:D75"/>
    <mergeCell ref="B76:C76"/>
    <mergeCell ref="B79:D79"/>
    <mergeCell ref="B80:C80"/>
  </mergeCell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92</vt:i4>
      </vt:variant>
    </vt:vector>
  </HeadingPairs>
  <TitlesOfParts>
    <vt:vector size="99" baseType="lpstr">
      <vt:lpstr>About VICE 2.0</vt:lpstr>
      <vt:lpstr>Inputs</vt:lpstr>
      <vt:lpstr>Results</vt:lpstr>
      <vt:lpstr>Instructions</vt:lpstr>
      <vt:lpstr>Glossary of Terms</vt:lpstr>
      <vt:lpstr>Vehicle &amp; Station Calculations</vt:lpstr>
      <vt:lpstr>Financial Calculations</vt:lpstr>
      <vt:lpstr>CNG_GHG</vt:lpstr>
      <vt:lpstr>CNG_Inflation</vt:lpstr>
      <vt:lpstr>CNG_LDV_Maint_Costs</vt:lpstr>
      <vt:lpstr>CNG_Maint_Costs</vt:lpstr>
      <vt:lpstr>cng_mpg_dt</vt:lpstr>
      <vt:lpstr>cng_mpg_pc</vt:lpstr>
      <vt:lpstr>cng_mpg_ps</vt:lpstr>
      <vt:lpstr>cng_mpg_pu</vt:lpstr>
      <vt:lpstr>cng_mpg_sb</vt:lpstr>
      <vt:lpstr>cng_mpg_tb</vt:lpstr>
      <vt:lpstr>cng_mpg_tt</vt:lpstr>
      <vt:lpstr>CNG_Price</vt:lpstr>
      <vt:lpstr>CNG_Station_Salv</vt:lpstr>
      <vt:lpstr>Diesel_Excise_Exempt</vt:lpstr>
      <vt:lpstr>Diesel_GHG</vt:lpstr>
      <vt:lpstr>Diesel_Inflation</vt:lpstr>
      <vt:lpstr>Diesel_Maint</vt:lpstr>
      <vt:lpstr>diesel_mpg_sb</vt:lpstr>
      <vt:lpstr>diesel_mpg_tb</vt:lpstr>
      <vt:lpstr>diesel_mpg_tt</vt:lpstr>
      <vt:lpstr>Diesel_Price</vt:lpstr>
      <vt:lpstr>Diesel_tax_exempt</vt:lpstr>
      <vt:lpstr>dt_vmt</vt:lpstr>
      <vt:lpstr>Excise_Tax_Credit</vt:lpstr>
      <vt:lpstr>Fed_Diesel_tax</vt:lpstr>
      <vt:lpstr>Fed_Gas_tax</vt:lpstr>
      <vt:lpstr>FF_Offset</vt:lpstr>
      <vt:lpstr>FF_Slope</vt:lpstr>
      <vt:lpstr>Gasoline__Excise_Exempt</vt:lpstr>
      <vt:lpstr>Gasoline_GHG</vt:lpstr>
      <vt:lpstr>Gasoline_Inflation</vt:lpstr>
      <vt:lpstr>Gasoline_Maint</vt:lpstr>
      <vt:lpstr>gasoline_mpg_dt</vt:lpstr>
      <vt:lpstr>gasoline_mpg_pc</vt:lpstr>
      <vt:lpstr>gasoline_mpg_ps</vt:lpstr>
      <vt:lpstr>gasoline_mpg_pu</vt:lpstr>
      <vt:lpstr>gasoline_mpg_tt</vt:lpstr>
      <vt:lpstr>Gasoline_Price</vt:lpstr>
      <vt:lpstr>Gasoline_Tax_Exemption</vt:lpstr>
      <vt:lpstr>GGE_DGE_Conv</vt:lpstr>
      <vt:lpstr>Hossler_Cost</vt:lpstr>
      <vt:lpstr>hossler_dt</vt:lpstr>
      <vt:lpstr>hossler_pc</vt:lpstr>
      <vt:lpstr>hossler_ps</vt:lpstr>
      <vt:lpstr>hossler_pu</vt:lpstr>
      <vt:lpstr>hossler_sb</vt:lpstr>
      <vt:lpstr>hossler_tb</vt:lpstr>
      <vt:lpstr>hossler_tt</vt:lpstr>
      <vt:lpstr>INF_Slope_BP</vt:lpstr>
      <vt:lpstr>Info_1</vt:lpstr>
      <vt:lpstr>Info_2</vt:lpstr>
      <vt:lpstr>Info_3</vt:lpstr>
      <vt:lpstr>Info_loc_1</vt:lpstr>
      <vt:lpstr>Info_loc_2</vt:lpstr>
      <vt:lpstr>Info_loc_3</vt:lpstr>
      <vt:lpstr>Infr_lookup_table</vt:lpstr>
      <vt:lpstr>infra_tax_credit_cap</vt:lpstr>
      <vt:lpstr>infra_tax_credit_rate</vt:lpstr>
      <vt:lpstr>infra_tax_credit_realized</vt:lpstr>
      <vt:lpstr>Invest_Type</vt:lpstr>
      <vt:lpstr>life_dt</vt:lpstr>
      <vt:lpstr>life_pc</vt:lpstr>
      <vt:lpstr>life_ps</vt:lpstr>
      <vt:lpstr>life_pu</vt:lpstr>
      <vt:lpstr>life_sb</vt:lpstr>
      <vt:lpstr>life_tb</vt:lpstr>
      <vt:lpstr>life_tt</vt:lpstr>
      <vt:lpstr>no_dt</vt:lpstr>
      <vt:lpstr>No_Passcars</vt:lpstr>
      <vt:lpstr>No_Pickup_Trucks</vt:lpstr>
      <vt:lpstr>no_ps</vt:lpstr>
      <vt:lpstr>no_sb</vt:lpstr>
      <vt:lpstr>no_tb</vt:lpstr>
      <vt:lpstr>no_tt</vt:lpstr>
      <vt:lpstr>PC_VMT</vt:lpstr>
      <vt:lpstr>'Glossary of Terms'!Print_Area</vt:lpstr>
      <vt:lpstr>Instructions!Print_Area</vt:lpstr>
      <vt:lpstr>Results!Print_Area</vt:lpstr>
      <vt:lpstr>Project_Type</vt:lpstr>
      <vt:lpstr>Project_Year</vt:lpstr>
      <vt:lpstr>ps_vmt</vt:lpstr>
      <vt:lpstr>PU_vmt</vt:lpstr>
      <vt:lpstr>Realized_Excise_Tax_Credit</vt:lpstr>
      <vt:lpstr>Required_ROR</vt:lpstr>
      <vt:lpstr>sb_vmt</vt:lpstr>
      <vt:lpstr>State_Diesel_Tax</vt:lpstr>
      <vt:lpstr>State_Gas_Tax</vt:lpstr>
      <vt:lpstr>Tax_Status</vt:lpstr>
      <vt:lpstr>tb_vmt</vt:lpstr>
      <vt:lpstr>TF_Offset</vt:lpstr>
      <vt:lpstr>TF_Slope</vt:lpstr>
      <vt:lpstr>tt_vmt</vt:lpstr>
    </vt:vector>
  </TitlesOfParts>
  <Company>NREL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Mitchell</dc:creator>
  <cp:lastModifiedBy>Rahill, Matt</cp:lastModifiedBy>
  <cp:lastPrinted>2014-01-20T16:17:00Z</cp:lastPrinted>
  <dcterms:created xsi:type="dcterms:W3CDTF">2012-10-04T16:08:36Z</dcterms:created>
  <dcterms:modified xsi:type="dcterms:W3CDTF">2026-07-02T16:56:27Z</dcterms:modified>
</cp:coreProperties>
</file>